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4.xml" ContentType="application/vnd.openxmlformats-officedocument.drawing+xml"/>
  <Override PartName="/xl/ctrlProps/ctrlProp67.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7.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drawings/drawing8.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9.xml" ContentType="application/vnd.openxmlformats-officedocument.drawing+xml"/>
  <Override PartName="/xl/ctrlProps/ctrlProp126.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Users\karen\Desktop\2025 COMPLIANCE\AOC Report\"/>
    </mc:Choice>
  </mc:AlternateContent>
  <xr:revisionPtr revIDLastSave="0" documentId="13_ncr:1_{589F140F-504A-41B8-B383-9DD0ACBA9C99}" xr6:coauthVersionLast="47" xr6:coauthVersionMax="47" xr10:uidLastSave="{00000000-0000-0000-0000-000000000000}"/>
  <workbookProtection workbookAlgorithmName="SHA-512" workbookHashValue="wY1/CO3w8fJcg6sKS9PCLpp/P1jyV+ZWvBYgpsgORyVrY6GbzLCP0SLzhOXyQyoz9hjV1HSA20LiO7Pq9DWNaw==" workbookSaltValue="GHxfQxAvSq+59qC1x8wMuA==" workbookSpinCount="100000" lockStructure="1"/>
  <bookViews>
    <workbookView xWindow="38280" yWindow="2610" windowWidth="29040" windowHeight="15720" tabRatio="974" activeTab="7" xr2:uid="{00000000-000D-0000-FFFF-FFFF00000000}"/>
  </bookViews>
  <sheets>
    <sheet name="COVER" sheetId="16" r:id="rId1"/>
    <sheet name="TOC" sheetId="11" r:id="rId2"/>
    <sheet name="CKLST" sheetId="1" r:id="rId3"/>
    <sheet name="PAYMENT FORM" sheetId="2" r:id="rId4"/>
    <sheet name="A. OCCPC" sheetId="21" r:id="rId5"/>
    <sheet name="PART A. NP ADDENDUM" sheetId="6" r:id="rId6"/>
    <sheet name="B. SUPPLEMENTAL CERT" sheetId="8" r:id="rId7"/>
    <sheet name="PART B. EXHIBIT A" sheetId="15" r:id="rId8"/>
    <sheet name="PART B.  EXHIBIT B" sheetId="17" r:id="rId9"/>
    <sheet name="PART B. Exhibit C" sheetId="18" r:id="rId10"/>
    <sheet name="PART B. Exhibit D" sheetId="19" r:id="rId11"/>
    <sheet name="C.  RENT ROLL" sheetId="10" r:id="rId12"/>
    <sheet name="D. DFAR" sheetId="9" r:id="rId13"/>
    <sheet name="E. CONTACT FORM" sheetId="13" r:id="rId14"/>
    <sheet name="EUP" sheetId="20" r:id="rId15"/>
    <sheet name="NC GUIDE" sheetId="4" r:id="rId16"/>
    <sheet name="EXPLANATION" sheetId="7" state="hidden" r:id="rId17"/>
    <sheet name="CODES" sheetId="14" state="hidden" r:id="rId18"/>
  </sheets>
  <definedNames>
    <definedName name="_xlnm._FilterDatabase" localSheetId="14" hidden="1">EUP!$B$4:$D$717</definedName>
    <definedName name="_xlnm.Print_Area" localSheetId="4">'A. OCCPC'!$B$4:$B$20</definedName>
    <definedName name="_xlnm.Print_Area" localSheetId="6">'B. SUPPLEMENTAL CERT'!$D$2:$W$99</definedName>
    <definedName name="_xlnm.Print_Area" localSheetId="11">'C.  RENT ROLL'!$B$2:$M$44</definedName>
    <definedName name="_xlnm.Print_Area" localSheetId="2">CKLST!$B$2:$R$67</definedName>
    <definedName name="_xlnm.Print_Area" localSheetId="0">COVER!$C$2:$O$59</definedName>
    <definedName name="_xlnm.Print_Area" localSheetId="12">'D. DFAR'!$D$2:$S$123</definedName>
    <definedName name="_xlnm.Print_Area" localSheetId="13">'E. CONTACT FORM'!$C$5:$H$70</definedName>
    <definedName name="_xlnm.Print_Area" localSheetId="14">EUP!$B$2:$D$765</definedName>
    <definedName name="_xlnm.Print_Area" localSheetId="16">EXPLANATION!$D$2:$U$49</definedName>
    <definedName name="_xlnm.Print_Area" localSheetId="15">'NC GUIDE'!$B$2:$D$19</definedName>
    <definedName name="_xlnm.Print_Area" localSheetId="5">'PART A. NP ADDENDUM'!$D$2:$U$55</definedName>
    <definedName name="_xlnm.Print_Area" localSheetId="8">'PART B.  EXHIBIT B'!$E$2:$AB$54</definedName>
    <definedName name="_xlnm.Print_Area" localSheetId="7">'PART B. EXHIBIT A'!$D$2:$T$149</definedName>
    <definedName name="_xlnm.Print_Area" localSheetId="9">'PART B. Exhibit C'!$B$2:$S$54</definedName>
    <definedName name="_xlnm.Print_Area" localSheetId="10">'PART B. Exhibit D'!$B$2:$S$54</definedName>
    <definedName name="_xlnm.Print_Area" localSheetId="3">'PAYMENT FORM'!$B$2:$T$58</definedName>
    <definedName name="_xlnm.Print_Area" localSheetId="1">TOC!$D$3:$N$35</definedName>
    <definedName name="_xlnm.Print_Titles" localSheetId="14">EUP!$2:$4</definedName>
    <definedName name="Start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7" i="20" l="1"/>
  <c r="B668" i="20"/>
  <c r="B667" i="20"/>
  <c r="B666" i="20"/>
  <c r="B665" i="20"/>
  <c r="B664" i="20"/>
  <c r="B663" i="20"/>
  <c r="B662" i="20"/>
  <c r="B661" i="20"/>
  <c r="B660" i="20"/>
  <c r="B659" i="20"/>
  <c r="B658" i="20"/>
  <c r="B657" i="20"/>
  <c r="B656" i="20"/>
  <c r="B655" i="20"/>
  <c r="B654" i="20"/>
  <c r="B653" i="20"/>
  <c r="B652" i="20"/>
  <c r="B651" i="20"/>
  <c r="B650" i="20"/>
  <c r="B649" i="20"/>
  <c r="B648" i="20"/>
  <c r="B647" i="20"/>
  <c r="B646" i="20"/>
  <c r="B645" i="20"/>
  <c r="B644" i="20"/>
  <c r="B643" i="20"/>
  <c r="B642" i="20"/>
  <c r="B641" i="20"/>
  <c r="B640" i="20"/>
  <c r="B639" i="20"/>
  <c r="B638" i="20"/>
  <c r="B637" i="20"/>
  <c r="B636" i="20"/>
  <c r="B635" i="20"/>
  <c r="B634" i="20"/>
  <c r="B633" i="20"/>
  <c r="B632" i="20"/>
  <c r="B631" i="20"/>
  <c r="B630" i="20"/>
  <c r="B629" i="20"/>
  <c r="B628" i="20"/>
  <c r="B627" i="20"/>
  <c r="B626" i="20"/>
  <c r="B625" i="20"/>
  <c r="B624" i="20"/>
  <c r="B623" i="20"/>
  <c r="B622" i="20"/>
  <c r="B621" i="20"/>
  <c r="B620" i="20"/>
  <c r="B619" i="20"/>
  <c r="B618" i="20"/>
  <c r="B617" i="20"/>
  <c r="B616" i="20"/>
  <c r="B615" i="20"/>
  <c r="B614" i="20"/>
  <c r="B613" i="20"/>
  <c r="B612" i="20"/>
  <c r="B611" i="20"/>
  <c r="B610" i="20"/>
  <c r="B609" i="20"/>
  <c r="B608" i="20"/>
  <c r="B607" i="20"/>
  <c r="B606" i="20"/>
  <c r="B605" i="20"/>
  <c r="B604" i="20"/>
  <c r="B603" i="20"/>
  <c r="B602" i="20"/>
  <c r="B601" i="20"/>
  <c r="B600" i="20"/>
  <c r="B599" i="20"/>
  <c r="B598" i="20"/>
  <c r="B597" i="20"/>
  <c r="B596" i="20"/>
  <c r="B595" i="20"/>
  <c r="B594" i="20"/>
  <c r="B593" i="20"/>
  <c r="B592" i="20"/>
  <c r="B591" i="20"/>
  <c r="B590" i="20"/>
  <c r="B589" i="20"/>
  <c r="B588" i="20"/>
  <c r="B587" i="20"/>
  <c r="B586" i="20"/>
  <c r="B585" i="20"/>
  <c r="B584" i="20"/>
  <c r="B583" i="20"/>
  <c r="B582" i="20"/>
  <c r="B581" i="20"/>
  <c r="B580" i="20"/>
  <c r="B579" i="20"/>
  <c r="B578" i="20"/>
  <c r="B577" i="20"/>
  <c r="B576" i="20"/>
  <c r="B575" i="20"/>
  <c r="B574" i="20"/>
  <c r="B573" i="20"/>
  <c r="B572" i="20"/>
  <c r="B571" i="20"/>
  <c r="B570" i="20"/>
  <c r="B569" i="20"/>
  <c r="B568" i="20"/>
  <c r="B567" i="20"/>
  <c r="B566" i="20"/>
  <c r="B565" i="20"/>
  <c r="B564" i="20"/>
  <c r="B563" i="20"/>
  <c r="B562" i="20"/>
  <c r="B561" i="20"/>
  <c r="B560" i="20"/>
  <c r="B559" i="20"/>
  <c r="B558" i="20"/>
  <c r="B557" i="20"/>
  <c r="B556" i="20"/>
  <c r="B555" i="20"/>
  <c r="B554" i="20"/>
  <c r="B553" i="20"/>
  <c r="B552" i="20"/>
  <c r="B551" i="20"/>
  <c r="B550" i="20"/>
  <c r="B549" i="20"/>
  <c r="B548" i="20"/>
  <c r="B547" i="20"/>
  <c r="B546" i="20"/>
  <c r="B545" i="20"/>
  <c r="B544" i="20"/>
  <c r="B543" i="20"/>
  <c r="B542" i="20"/>
  <c r="B541" i="20"/>
  <c r="B540" i="20"/>
  <c r="B539" i="20"/>
  <c r="B538" i="20"/>
  <c r="B537" i="20"/>
  <c r="B536" i="20"/>
  <c r="B535" i="20"/>
  <c r="B534" i="20"/>
  <c r="B533" i="20"/>
  <c r="B532" i="20"/>
  <c r="B531" i="20"/>
  <c r="B530" i="20"/>
  <c r="B529" i="20"/>
  <c r="B528" i="20"/>
  <c r="B527" i="20"/>
  <c r="B526" i="20"/>
  <c r="B525" i="20"/>
  <c r="B524" i="20"/>
  <c r="B523" i="20"/>
  <c r="B522" i="20"/>
  <c r="B521" i="20"/>
  <c r="B520" i="20"/>
  <c r="B519" i="20"/>
  <c r="B518" i="20"/>
  <c r="B517" i="20"/>
  <c r="B516" i="20"/>
  <c r="B515" i="20"/>
  <c r="B514" i="20"/>
  <c r="B513" i="20"/>
  <c r="B512" i="20"/>
  <c r="B511" i="20"/>
  <c r="B510" i="20"/>
  <c r="B509" i="20"/>
  <c r="B508" i="20"/>
  <c r="B507" i="20"/>
  <c r="B506" i="20"/>
  <c r="B505" i="20"/>
  <c r="B504" i="20"/>
  <c r="B503" i="20"/>
  <c r="B502" i="20"/>
  <c r="B501" i="20"/>
  <c r="B500" i="20"/>
  <c r="B499" i="20"/>
  <c r="B498" i="20"/>
  <c r="B497" i="20"/>
  <c r="B496" i="20"/>
  <c r="B495" i="20"/>
  <c r="B494" i="20"/>
  <c r="B493" i="20"/>
  <c r="B492" i="20"/>
  <c r="B491" i="20"/>
  <c r="B490" i="20"/>
  <c r="B489" i="20"/>
  <c r="B488" i="20"/>
  <c r="B487" i="20"/>
  <c r="B486" i="20"/>
  <c r="B485" i="20"/>
  <c r="B484" i="20"/>
  <c r="B483" i="20"/>
  <c r="B482" i="20"/>
  <c r="B481" i="20"/>
  <c r="B480" i="20"/>
  <c r="B479" i="20"/>
  <c r="B478" i="20"/>
  <c r="B477" i="20"/>
  <c r="B476" i="20"/>
  <c r="B475" i="20"/>
  <c r="B474" i="20"/>
  <c r="B473" i="20"/>
  <c r="B472" i="20"/>
  <c r="B471" i="20"/>
  <c r="B470" i="20"/>
  <c r="B469" i="20"/>
  <c r="B468" i="20"/>
  <c r="B467" i="20"/>
  <c r="B466" i="20"/>
  <c r="B465" i="20"/>
  <c r="B464" i="20"/>
  <c r="B463" i="20"/>
  <c r="B462" i="20"/>
  <c r="B461" i="20"/>
  <c r="B460" i="20"/>
  <c r="B459" i="20"/>
  <c r="B458" i="20"/>
  <c r="B457" i="20"/>
  <c r="B456" i="20"/>
  <c r="B455" i="20"/>
  <c r="B454" i="20"/>
  <c r="B453" i="20"/>
  <c r="B452" i="20"/>
  <c r="B451" i="20"/>
  <c r="B450" i="20"/>
  <c r="B448" i="20"/>
  <c r="B447" i="20"/>
  <c r="B446" i="20"/>
  <c r="B445" i="20"/>
  <c r="B444" i="20"/>
  <c r="B443" i="20"/>
  <c r="B442" i="20"/>
  <c r="B441" i="20"/>
  <c r="B440" i="20"/>
  <c r="B439" i="20"/>
  <c r="B438" i="20"/>
  <c r="B433" i="20"/>
  <c r="B432" i="20"/>
  <c r="B431" i="20"/>
  <c r="B430" i="20"/>
  <c r="B429" i="20"/>
  <c r="B428" i="20"/>
  <c r="B427" i="20"/>
  <c r="B426" i="20"/>
  <c r="B425" i="20"/>
  <c r="B424" i="20"/>
  <c r="B423" i="20"/>
  <c r="B422" i="20"/>
  <c r="B421" i="20"/>
  <c r="B420" i="20"/>
  <c r="B419" i="20"/>
  <c r="B396" i="20"/>
  <c r="B395" i="20"/>
  <c r="B394" i="20"/>
  <c r="B393" i="20"/>
  <c r="B392" i="20"/>
  <c r="B391" i="20"/>
  <c r="B390" i="20"/>
  <c r="B389" i="20"/>
  <c r="B388" i="20"/>
  <c r="B387" i="20"/>
  <c r="B386" i="20"/>
  <c r="B385" i="20"/>
  <c r="B384" i="20"/>
  <c r="B383" i="20"/>
  <c r="B382" i="20"/>
  <c r="B381" i="20"/>
  <c r="B380" i="20"/>
  <c r="B379" i="20"/>
  <c r="B378" i="20"/>
  <c r="B376" i="20"/>
  <c r="B375" i="20"/>
  <c r="B374" i="20"/>
  <c r="B373" i="20"/>
  <c r="B372" i="20"/>
  <c r="B371" i="20"/>
  <c r="B370" i="20"/>
  <c r="B369" i="20"/>
  <c r="B368" i="20"/>
  <c r="B367" i="20"/>
  <c r="B366" i="20"/>
  <c r="B365" i="20"/>
  <c r="B364" i="20"/>
  <c r="B363" i="20"/>
  <c r="B345" i="20"/>
  <c r="B344" i="20"/>
  <c r="B343" i="20"/>
  <c r="B342" i="20"/>
  <c r="B341" i="20"/>
  <c r="B340" i="20"/>
  <c r="B339" i="20"/>
  <c r="B338" i="20"/>
  <c r="B337" i="20"/>
  <c r="B336" i="20"/>
  <c r="B335" i="20"/>
  <c r="B334" i="20"/>
  <c r="B333" i="20"/>
  <c r="B332" i="20"/>
  <c r="B330" i="20"/>
  <c r="B329" i="20"/>
  <c r="B328" i="20"/>
  <c r="B327" i="20"/>
  <c r="B326" i="20"/>
  <c r="B325" i="20"/>
  <c r="B324" i="20"/>
  <c r="B323" i="20"/>
  <c r="B322" i="20"/>
  <c r="B321" i="20"/>
  <c r="B320" i="20"/>
  <c r="B319" i="20"/>
  <c r="B318" i="20"/>
  <c r="B317" i="20"/>
  <c r="B313" i="20"/>
  <c r="B312" i="20"/>
  <c r="B311" i="20"/>
  <c r="B310" i="20"/>
  <c r="B309" i="20"/>
  <c r="B308" i="20"/>
  <c r="B307" i="20"/>
  <c r="B306" i="20"/>
  <c r="B305" i="20"/>
  <c r="B304" i="20"/>
  <c r="B303" i="20"/>
  <c r="B297" i="20"/>
  <c r="B296" i="20"/>
  <c r="B295" i="20"/>
  <c r="B294" i="20"/>
  <c r="B293" i="20"/>
  <c r="B292" i="20"/>
  <c r="B291" i="20"/>
  <c r="B290" i="20"/>
  <c r="B289" i="20"/>
  <c r="B288" i="20"/>
  <c r="B287" i="20"/>
  <c r="B286" i="20"/>
  <c r="B285" i="20"/>
  <c r="B284" i="20"/>
  <c r="B283" i="20"/>
  <c r="B282" i="20"/>
  <c r="B281" i="20"/>
  <c r="B280" i="20"/>
  <c r="B279" i="20"/>
  <c r="B278" i="20"/>
  <c r="B277" i="20"/>
  <c r="B276" i="20"/>
  <c r="B273" i="20"/>
  <c r="B272" i="20"/>
  <c r="B271" i="20"/>
  <c r="B270" i="20"/>
  <c r="B269" i="20"/>
  <c r="B268" i="20"/>
  <c r="B267" i="20"/>
  <c r="B266" i="20"/>
  <c r="B265" i="20"/>
  <c r="B264" i="20"/>
  <c r="B263" i="20"/>
  <c r="B262" i="20"/>
  <c r="B261" i="20"/>
  <c r="B260" i="20"/>
  <c r="B259" i="20"/>
  <c r="B258" i="20"/>
  <c r="B257" i="20"/>
  <c r="B256" i="20"/>
  <c r="B255" i="20"/>
  <c r="B254" i="20"/>
  <c r="B253" i="20"/>
  <c r="B252" i="20"/>
  <c r="B251" i="20"/>
  <c r="B250" i="20"/>
  <c r="B249" i="20"/>
  <c r="B248" i="20"/>
  <c r="B247" i="20"/>
  <c r="B246" i="20"/>
  <c r="B245" i="20"/>
  <c r="B244" i="20"/>
  <c r="B243" i="20"/>
  <c r="B242" i="20"/>
  <c r="B241" i="20"/>
  <c r="B240" i="20"/>
  <c r="B238" i="20"/>
  <c r="B237" i="20"/>
  <c r="B236" i="20"/>
  <c r="B235" i="20"/>
  <c r="B234" i="20"/>
  <c r="B233" i="20"/>
  <c r="B232" i="20"/>
  <c r="B231" i="20"/>
  <c r="B230" i="20"/>
  <c r="B229" i="20"/>
  <c r="B228" i="20"/>
  <c r="B227" i="20"/>
  <c r="B226" i="20"/>
  <c r="B224" i="20"/>
  <c r="B223" i="20"/>
  <c r="B222" i="20"/>
  <c r="B221" i="20"/>
  <c r="B220" i="20"/>
  <c r="B219" i="20"/>
  <c r="B218" i="20"/>
  <c r="B217" i="20"/>
  <c r="B216" i="20"/>
  <c r="B215" i="20"/>
  <c r="B214" i="20"/>
  <c r="B213" i="20"/>
  <c r="B212" i="20"/>
  <c r="B211" i="20"/>
  <c r="B210" i="20"/>
  <c r="B209" i="20"/>
  <c r="B208" i="20"/>
  <c r="B207" i="20"/>
  <c r="B206" i="20"/>
  <c r="B205" i="20"/>
  <c r="B204" i="20"/>
  <c r="B203" i="20"/>
  <c r="B202" i="20"/>
  <c r="B201" i="20"/>
  <c r="B199" i="20"/>
  <c r="B198" i="20"/>
  <c r="B197" i="20"/>
  <c r="B196" i="20"/>
  <c r="B195" i="20"/>
  <c r="B194" i="20"/>
  <c r="B193" i="20"/>
  <c r="B192" i="20"/>
  <c r="B191" i="20"/>
  <c r="B190" i="20"/>
  <c r="B183" i="20"/>
  <c r="B182" i="20"/>
  <c r="B181" i="20"/>
  <c r="B180" i="20"/>
  <c r="B179" i="20"/>
  <c r="B178" i="20"/>
  <c r="B177" i="20"/>
  <c r="B176" i="20"/>
  <c r="B175" i="20"/>
  <c r="B174" i="20"/>
  <c r="B173" i="20"/>
  <c r="B172" i="20"/>
  <c r="B171" i="20"/>
  <c r="B170" i="20"/>
  <c r="B169" i="20"/>
  <c r="B168" i="20"/>
  <c r="B167" i="20"/>
  <c r="B166" i="20"/>
  <c r="B165" i="20"/>
  <c r="B164" i="20"/>
  <c r="B163" i="20"/>
  <c r="B162" i="20"/>
  <c r="B161" i="20"/>
  <c r="B160" i="20"/>
  <c r="B159" i="20"/>
  <c r="B158" i="20"/>
  <c r="B157" i="20"/>
  <c r="B156" i="20"/>
  <c r="B155" i="20"/>
  <c r="B154" i="20"/>
  <c r="B153" i="20"/>
  <c r="B152" i="20"/>
  <c r="B151" i="20"/>
  <c r="B150" i="20"/>
  <c r="B149" i="20"/>
  <c r="B148" i="20"/>
  <c r="B147" i="20"/>
  <c r="B146" i="20"/>
  <c r="B145" i="20"/>
  <c r="B144" i="20"/>
  <c r="B143" i="20"/>
  <c r="B142" i="20"/>
  <c r="B141" i="20"/>
  <c r="B140" i="20"/>
  <c r="B139" i="20"/>
  <c r="B138" i="20"/>
  <c r="B137" i="20"/>
  <c r="B135" i="20"/>
  <c r="B134" i="20"/>
  <c r="B133" i="20"/>
  <c r="B132" i="20"/>
  <c r="B131" i="20"/>
  <c r="B130" i="20"/>
  <c r="B129" i="20"/>
  <c r="B128" i="20"/>
  <c r="B127" i="20"/>
  <c r="B126" i="20"/>
  <c r="B125" i="20"/>
  <c r="B124" i="20"/>
  <c r="B123" i="20"/>
  <c r="B122" i="20"/>
  <c r="B121" i="20"/>
  <c r="B120" i="20"/>
  <c r="B119" i="20"/>
  <c r="B118" i="20"/>
  <c r="B117" i="20"/>
  <c r="B116" i="20"/>
  <c r="B115" i="20"/>
  <c r="B114" i="20"/>
  <c r="B113" i="20"/>
  <c r="B112" i="20"/>
  <c r="B111" i="20"/>
  <c r="B110" i="20"/>
  <c r="B109" i="20"/>
  <c r="B108" i="20"/>
  <c r="B107" i="20"/>
  <c r="B106" i="20"/>
  <c r="B105" i="20"/>
  <c r="B104" i="20"/>
  <c r="B103" i="20"/>
  <c r="B102" i="20"/>
  <c r="B101" i="20"/>
  <c r="B100" i="20"/>
  <c r="B99" i="20"/>
  <c r="B98" i="20"/>
  <c r="B97" i="20"/>
  <c r="B96" i="20"/>
  <c r="B95" i="20"/>
  <c r="B93" i="20"/>
  <c r="B92" i="20"/>
  <c r="B91" i="20"/>
  <c r="B90" i="20"/>
  <c r="B89" i="20"/>
  <c r="B88" i="20"/>
  <c r="B87" i="20"/>
  <c r="B86" i="20"/>
  <c r="B85" i="20"/>
  <c r="B84" i="20"/>
  <c r="B83" i="20"/>
  <c r="B80" i="20"/>
  <c r="B79" i="20"/>
  <c r="B78" i="20"/>
  <c r="B76" i="20"/>
  <c r="B75" i="20"/>
  <c r="B74" i="20"/>
  <c r="B73" i="20"/>
  <c r="B72" i="20"/>
  <c r="B71" i="20"/>
  <c r="B70" i="20"/>
  <c r="B69" i="20"/>
  <c r="B68" i="20"/>
  <c r="B64" i="20"/>
  <c r="B63" i="20"/>
  <c r="B62" i="20"/>
  <c r="B61" i="20"/>
  <c r="B60" i="20"/>
  <c r="B59" i="20"/>
  <c r="B58" i="20"/>
  <c r="B57" i="20"/>
  <c r="B56" i="20"/>
  <c r="B55" i="20"/>
  <c r="B52" i="20"/>
  <c r="B51" i="20"/>
  <c r="B50" i="20"/>
  <c r="B49" i="20"/>
  <c r="B48" i="20"/>
  <c r="B47" i="20"/>
  <c r="B46" i="20"/>
  <c r="B45" i="20"/>
  <c r="B44" i="20"/>
  <c r="B43" i="20"/>
  <c r="B42" i="20"/>
  <c r="B41" i="20"/>
  <c r="B40" i="20"/>
  <c r="B39" i="20"/>
  <c r="B38" i="20"/>
  <c r="B37" i="20"/>
  <c r="B36" i="20"/>
  <c r="B32" i="20"/>
  <c r="B31" i="20"/>
  <c r="B30" i="20"/>
  <c r="B29" i="20"/>
  <c r="B28" i="20"/>
  <c r="B27" i="20"/>
  <c r="B26" i="20"/>
  <c r="B25" i="20"/>
  <c r="B24" i="20"/>
  <c r="B23" i="20"/>
  <c r="B22" i="20"/>
  <c r="B21" i="20"/>
  <c r="B20" i="20"/>
  <c r="B18" i="20"/>
  <c r="B17" i="20"/>
  <c r="B16" i="20"/>
  <c r="B15" i="20"/>
  <c r="B14" i="20"/>
  <c r="B13" i="20"/>
  <c r="B12" i="20"/>
  <c r="B11" i="20"/>
  <c r="B10" i="20"/>
  <c r="B9" i="20"/>
  <c r="B8" i="20"/>
  <c r="B7" i="20"/>
  <c r="B6" i="20"/>
  <c r="B5" i="20"/>
  <c r="O37" i="19"/>
  <c r="O37" i="18"/>
  <c r="T25" i="17"/>
  <c r="T24" i="17"/>
  <c r="S37" i="2" l="1"/>
  <c r="S39" i="2"/>
  <c r="S35" i="2"/>
  <c r="S42" i="2" l="1"/>
  <c r="F51" i="2" s="1"/>
  <c r="O53" i="2" s="1"/>
</calcChain>
</file>

<file path=xl/sharedStrings.xml><?xml version="1.0" encoding="utf-8"?>
<sst xmlns="http://schemas.openxmlformats.org/spreadsheetml/2006/main" count="1997" uniqueCount="1348">
  <si>
    <t>Annual Owner Certification Report</t>
  </si>
  <si>
    <t>January 1 - December 31</t>
  </si>
  <si>
    <t>Project Name:</t>
  </si>
  <si>
    <t>Project No.:</t>
  </si>
  <si>
    <t>MS</t>
  </si>
  <si>
    <t>PART A</t>
  </si>
  <si>
    <t>PART B</t>
  </si>
  <si>
    <t>PART C</t>
  </si>
  <si>
    <t>PART D</t>
  </si>
  <si>
    <t>PART E</t>
  </si>
  <si>
    <t>DOCUMENT TYPE (Check all attached documents):</t>
  </si>
  <si>
    <t>Method of Submittal</t>
  </si>
  <si>
    <t>AND</t>
  </si>
  <si>
    <t>COL</t>
  </si>
  <si>
    <t>Annual Owner Certification Report Checklist</t>
  </si>
  <si>
    <r>
      <t xml:space="preserve">DEVELOPMENT FINANCIAL ANALYSIS REPORT (DFAR) - </t>
    </r>
    <r>
      <rPr>
        <i/>
        <sz val="12"/>
        <color rgb="FF000000"/>
        <rFont val="Aptos Narrow"/>
        <family val="2"/>
        <scheme val="minor"/>
      </rPr>
      <t>signed &amp; notarized</t>
    </r>
  </si>
  <si>
    <t>Owner Certification of Continuing Program Compliance (OCCPC) Report</t>
  </si>
  <si>
    <r>
      <t xml:space="preserve">OWNER CERTIFICATION OF CONTINUING PROGRAM COMPLIANCE (OCCPC) REPORT - </t>
    </r>
    <r>
      <rPr>
        <i/>
        <sz val="12"/>
        <color rgb="FF000000"/>
        <rFont val="Aptos Narrow"/>
        <family val="2"/>
        <scheme val="minor"/>
      </rPr>
      <t>signed &amp; notarized</t>
    </r>
  </si>
  <si>
    <t>PDF*</t>
  </si>
  <si>
    <t>MHC Property Primary Point of Contact Form</t>
  </si>
  <si>
    <t>N/A</t>
  </si>
  <si>
    <t>compliance.htc@mshc.com</t>
  </si>
  <si>
    <t>Remember to retain a copy of the AOC Report submittal for your records!</t>
  </si>
  <si>
    <t>Forward completed report to:</t>
  </si>
  <si>
    <r>
      <t xml:space="preserve">SUPPLEMENTAL CERTIFICATION OF HTC COMPLIANCE REPORT </t>
    </r>
    <r>
      <rPr>
        <b/>
        <i/>
        <sz val="12"/>
        <color rgb="FF000000"/>
        <rFont val="Aptos Narrow"/>
        <family val="2"/>
        <scheme val="minor"/>
      </rPr>
      <t xml:space="preserve">- </t>
    </r>
    <r>
      <rPr>
        <i/>
        <sz val="12"/>
        <color rgb="FF000000"/>
        <rFont val="Aptos Narrow"/>
        <family val="2"/>
        <scheme val="minor"/>
      </rPr>
      <t>signed &amp; notarized</t>
    </r>
  </si>
  <si>
    <t>Written response/documentation to support any explanations</t>
  </si>
  <si>
    <r>
      <t xml:space="preserve">Written Plan of Action/Response/documentation of support, </t>
    </r>
    <r>
      <rPr>
        <i/>
        <sz val="11"/>
        <rFont val="Aptos Narrow"/>
        <family val="2"/>
        <scheme val="minor"/>
      </rPr>
      <t>where applicable</t>
    </r>
  </si>
  <si>
    <t>PAYMENT PROCESSING FORM</t>
  </si>
  <si>
    <t>DEVELOPMENT INFORMATION</t>
  </si>
  <si>
    <t>METHOD OF PAYMENT</t>
  </si>
  <si>
    <t>FEE TYPE</t>
  </si>
  <si>
    <t>Remit Payment to:</t>
  </si>
  <si>
    <t>735 Riverside Drive; Jackson, MS 39202</t>
  </si>
  <si>
    <t>Annual Administrative</t>
  </si>
  <si>
    <t>Late Submission</t>
  </si>
  <si>
    <t>Fee Type</t>
  </si>
  <si>
    <t>Description</t>
  </si>
  <si>
    <t>Total</t>
  </si>
  <si>
    <t>GRAND TOTAL:</t>
  </si>
  <si>
    <t>*RHS-Financed development:  $10/Unit</t>
  </si>
  <si>
    <t>***FOR MHC INTERNAL USE ONLY***</t>
  </si>
  <si>
    <t>OTHER:</t>
  </si>
  <si>
    <t>Reference No.</t>
  </si>
  <si>
    <t>Date Payment received:</t>
  </si>
  <si>
    <t>Billed Amount:</t>
  </si>
  <si>
    <t>Invoice Balance:</t>
  </si>
  <si>
    <t>QTY</t>
  </si>
  <si>
    <t>No. of Days Late:</t>
  </si>
  <si>
    <t xml:space="preserve">Invoice No. </t>
  </si>
  <si>
    <t>Project Address:</t>
  </si>
  <si>
    <t>Processing Staff:</t>
  </si>
  <si>
    <t>Date:</t>
  </si>
  <si>
    <t>Submitted By:</t>
  </si>
  <si>
    <t>Email Address:</t>
  </si>
  <si>
    <t>Phone No.:</t>
  </si>
  <si>
    <t>Rate/Unit*</t>
  </si>
  <si>
    <t>Processing Notes/Comments</t>
  </si>
  <si>
    <t>CHECKLIST FOR</t>
  </si>
  <si>
    <t>ANNUAL OWNER CERTIFICATION (AOC) REPORT</t>
  </si>
  <si>
    <t>Mississippi Home Corporation</t>
  </si>
  <si>
    <t>Guide to Correcting “Common” AOC Noncompliance Violations</t>
  </si>
  <si>
    <t>Noncompliance (NC) Violation</t>
  </si>
  <si>
    <t>Document(s) Needed to Correct NC Item</t>
  </si>
  <si>
    <t>Documents Needed to Dispute NC Item</t>
  </si>
  <si>
    <t>Missing Tenant Certification</t>
  </si>
  <si>
    <t>Applicable Tenant Income Certification (TIC) for the current certification period and a corrected occupancy report or TIC of the next qualified household.</t>
  </si>
  <si>
    <t>Applicable TIC for the certification period and a corrected occupancy (rent roll) report.</t>
  </si>
  <si>
    <t>Late Tenant Certification</t>
  </si>
  <si>
    <t>Item is deemed corrected as of the date the recertification was completed.  No further actions needed.</t>
  </si>
  <si>
    <t>Applicable TIC for the certification period and a corrected occupancy (rent roll) report showing the correct certification date or move-in date.</t>
  </si>
  <si>
    <t>Over Rent Limit</t>
  </si>
  <si>
    <t>1) Documentation of reimbursement to the source (i.e. refund to tenant, HUD, Rural Development, etc. . .) and documentation indicating the rents have been decreased below the appropriate rent limits. 2) Documentation of the next qualified household.</t>
  </si>
  <si>
    <t>Written response summarizing reason for dispute, support documentation and a corrected occupancy report.</t>
  </si>
  <si>
    <t>Initial Over Income</t>
  </si>
  <si>
    <t>1) Documentation which indicates the household income-qualified after move-in or 2) documentation of the next qualified household.</t>
  </si>
  <si>
    <t>Initial TIC and all applicable income verifications and a corrected occupancy report.</t>
  </si>
  <si>
    <t>Owner’s Designation</t>
  </si>
  <si>
    <t>Applicable TIC to show that the household is low-income or explanation of  the correct unit status.</t>
  </si>
  <si>
    <t>Applicable TIC for the certification period and a corrected occupancy  report.</t>
  </si>
  <si>
    <t>Non-Qualified Student(s)</t>
  </si>
  <si>
    <t>Documentation of the next qualified household.</t>
  </si>
  <si>
    <t>Applicable TIC for the certification period, applicable student status certification/verification and a corrected occupancy report.</t>
  </si>
  <si>
    <t>Failure to maintain significant community services in accordance with the applicable QAP and HTC application</t>
  </si>
  <si>
    <t>Documentation (i.e. sign in rosters, flyers, class materials, etc.) to show that the services has been provided.</t>
  </si>
  <si>
    <r>
      <t xml:space="preserve">Answer to question #7 on the </t>
    </r>
    <r>
      <rPr>
        <i/>
        <sz val="10"/>
        <color theme="1"/>
        <rFont val="Calibri"/>
        <family val="2"/>
      </rPr>
      <t>Owner’s Certification of Continuing Program Compliance</t>
    </r>
    <r>
      <rPr>
        <sz val="10"/>
        <color theme="1"/>
        <rFont val="Calibri"/>
        <family val="2"/>
      </rPr>
      <t xml:space="preserve"> conflicts with development records.</t>
    </r>
  </si>
  <si>
    <r>
      <t xml:space="preserve">New </t>
    </r>
    <r>
      <rPr>
        <i/>
        <sz val="10"/>
        <color theme="1"/>
        <rFont val="Calibri"/>
        <family val="2"/>
      </rPr>
      <t>Owner’s Certification of Continuing Program Compliance</t>
    </r>
    <r>
      <rPr>
        <sz val="10"/>
        <color theme="1"/>
        <rFont val="Calibri"/>
        <family val="2"/>
      </rPr>
      <t>, with original signature, indicating the appropriate answer.</t>
    </r>
  </si>
  <si>
    <t>Documentation which indicates the development is in compliance for physical inspection conducted by MHC or Rural Development.</t>
  </si>
  <si>
    <r>
      <t xml:space="preserve">Incorrect certification to questions on </t>
    </r>
    <r>
      <rPr>
        <i/>
        <sz val="10"/>
        <color theme="1"/>
        <rFont val="Calibri"/>
        <family val="2"/>
      </rPr>
      <t>Supplemental Certification</t>
    </r>
  </si>
  <si>
    <t xml:space="preserve">Allocation documentation which indicates the applicable state obligation does or does not apply to the development. </t>
  </si>
  <si>
    <t xml:space="preserve"> </t>
  </si>
  <si>
    <t>*** For clarification on the “common” AOC noncompliance violations listed here or other violations, please contact the Compliance division at compliance.htc@mshc.com***</t>
  </si>
  <si>
    <t>NON-PROFIT ADDENDUM TO OWNER'S CERTIFICATION</t>
  </si>
  <si>
    <t xml:space="preserve"> OF CONTINUING PROGRAM COMPLIANCE</t>
  </si>
  <si>
    <t>DIRECTIONS:  This form is to be completed for developments that received its credit allocation from the portion of the state ceiling set-aside for projects involving "qualified non-profit organizations" under Section 42(h)(5) of the Internal Revenue Code.</t>
  </si>
  <si>
    <t>IRC 42 (h)(5) requires that each state set aside at least 10% of its state housing credit ceiling for allocations to projects in which qualified nonprofit organizations own an interest and materially participate in the develoopment and operation of the project.  "Qualified nonprofit organization" is defined as an IRC 501(c)(3) or 501(c)(4) organization exempt from tax under IRS 501(a) that is determined by the state agency as not being affiliated with or controlled by a for-profit organization, and one of the exempt purposes of the organization includes the fostering of low-income housing.</t>
  </si>
  <si>
    <t>For purposes of this allocation, a nonprofit organization must have an ownership interest in the low-income housing project throughout the compliance period and materialy participate in the development and operation of the project.</t>
  </si>
  <si>
    <t>NON-PROFIT ELIGIBILITY</t>
  </si>
  <si>
    <t>NON-PROFIT PARTICIPATION</t>
  </si>
  <si>
    <t>YES</t>
  </si>
  <si>
    <t>NO</t>
  </si>
  <si>
    <t>Did the nonprofit organization maintain its 501(c)(3) status throughout the certification period?</t>
  </si>
  <si>
    <t>Did the nonprofit organization participate in the day-to-day operations of the project?</t>
  </si>
  <si>
    <t>Did the nonprofit organization aid in the management decision-making of the project?</t>
  </si>
  <si>
    <t>Did the nonprofit organization provide services to the project?</t>
  </si>
  <si>
    <t>How often does the nonprofit have an on-site presence at the project?</t>
  </si>
  <si>
    <t>Is the nonprofit organization affiliated with or controlled by any for-profit organization?</t>
  </si>
  <si>
    <t>Nonprofit Organization Name:</t>
  </si>
  <si>
    <t>Address:</t>
  </si>
  <si>
    <t>City:</t>
  </si>
  <si>
    <t>State:</t>
  </si>
  <si>
    <t>Tax ID #:</t>
  </si>
  <si>
    <t>Contact Person:</t>
  </si>
  <si>
    <t>Does the nonprofit organization have at least fifty-one percent (51%) ownership interest in the project?</t>
  </si>
  <si>
    <t>Authorized Representative Signature:</t>
  </si>
  <si>
    <t>Authorized Representative Printed Name:</t>
  </si>
  <si>
    <t>STATEMENT OF EXPLANATION</t>
  </si>
  <si>
    <t>STATEMENTS OF EXPLANATION</t>
  </si>
  <si>
    <t>SUPPLEMENTAL CERTIFICATION OF HTC COMPLIANCE REPORT</t>
  </si>
  <si>
    <t>Owner Entity:</t>
  </si>
  <si>
    <t>Tax I.D.: No.:</t>
  </si>
  <si>
    <t>CHECK HERE, If FIRST REPORTER:</t>
  </si>
  <si>
    <t>PART I</t>
  </si>
  <si>
    <t>TARGETED POPULATION</t>
  </si>
  <si>
    <t>a</t>
  </si>
  <si>
    <t>3a</t>
  </si>
  <si>
    <t>b</t>
  </si>
  <si>
    <t>Policies, procedures, facilities and services have been provided and/or maintained to meet the physical or social needs of older persons or for persons meeting the Rural Development or Department of Housing and Urban Development’s definitions of elderly as outlined in the governing QAP.</t>
  </si>
  <si>
    <t>3b</t>
  </si>
  <si>
    <t>PART II</t>
  </si>
  <si>
    <t>DEVELOPMENT SERVICES &amp; AMENITIES</t>
  </si>
  <si>
    <t>5a</t>
  </si>
  <si>
    <t>8a</t>
  </si>
  <si>
    <t>First Subsidy Payment Date:</t>
  </si>
  <si>
    <t>JAN</t>
  </si>
  <si>
    <t>FEB</t>
  </si>
  <si>
    <t>MAR</t>
  </si>
  <si>
    <t>MAY</t>
  </si>
  <si>
    <t>JUN</t>
  </si>
  <si>
    <t>JUL</t>
  </si>
  <si>
    <t>AUG</t>
  </si>
  <si>
    <t>SEP</t>
  </si>
  <si>
    <t>OCT</t>
  </si>
  <si>
    <t>NOV</t>
  </si>
  <si>
    <t>DEC</t>
  </si>
  <si>
    <t>TOTAL</t>
  </si>
  <si>
    <t>No. of Assisted Units:</t>
  </si>
  <si>
    <t>TOTAL RA:</t>
  </si>
  <si>
    <t>PART III</t>
  </si>
  <si>
    <t>DEVELOPMENT REQUIREMENTS &amp; PHYSICAL CONDITION</t>
  </si>
  <si>
    <t>PART IV</t>
  </si>
  <si>
    <t>Question #</t>
  </si>
  <si>
    <t>Owner Name:</t>
  </si>
  <si>
    <t>Title:</t>
  </si>
  <si>
    <t>STATE OF:</t>
  </si>
  <si>
    <t>COUNTY OF:</t>
  </si>
  <si>
    <t>I, the undersigned, a Notary Public in and for said County, in state, hereby certify that _______________________________________________ (owner) signed the foregoing instrument, and who (is)(are) known to me, acknowledged before me on this date that, being informed of the contents of this document, (he)(she)(they) executed the same voluntarily on the day the same bears date.  Given under my hand and official seal this _________ day of _________________________________ in the year 20 ______.</t>
  </si>
  <si>
    <t>(SEAL)</t>
  </si>
  <si>
    <t>Notary Public:</t>
  </si>
  <si>
    <t xml:space="preserve">My Commission Expires: </t>
  </si>
  <si>
    <t>12a.  Date of Loan Closing:</t>
  </si>
  <si>
    <t>TEMPORARY HOUSING STATUS CERTIFICATION</t>
  </si>
  <si>
    <t xml:space="preserve">Attach:  12/31 of prior year-end Audited Financial Statement, Replacement &amp; Operating Reserve Account Statements </t>
  </si>
  <si>
    <t>Zip:</t>
  </si>
  <si>
    <t>Financial Report Accounting Method:</t>
  </si>
  <si>
    <t>Cash</t>
  </si>
  <si>
    <t>Accrual</t>
  </si>
  <si>
    <t>CAUTION:</t>
  </si>
  <si>
    <t>FIRST TIME DFAR REPORTERS</t>
  </si>
  <si>
    <t>i</t>
  </si>
  <si>
    <t>SELECT</t>
  </si>
  <si>
    <t>ii</t>
  </si>
  <si>
    <t>iii</t>
  </si>
  <si>
    <t>OPERATING STATEMENT SUMMARY</t>
  </si>
  <si>
    <t xml:space="preserve">REPORT OF REPLACEMENT RESERVE (RR) ACCOUNT </t>
  </si>
  <si>
    <t xml:space="preserve">REPORT OF OPERATING RESERVE (OR) ACCOUNT </t>
  </si>
  <si>
    <r>
      <rPr>
        <sz val="10"/>
        <rFont val="Aptos Narrow"/>
        <family val="2"/>
        <scheme val="minor"/>
      </rPr>
      <t>Date of</t>
    </r>
    <r>
      <rPr>
        <b/>
        <sz val="10"/>
        <rFont val="Aptos Narrow"/>
        <family val="2"/>
        <scheme val="minor"/>
      </rPr>
      <t xml:space="preserve"> Loan Closing:</t>
    </r>
  </si>
  <si>
    <t>9a</t>
  </si>
  <si>
    <t>Term of Loan:</t>
  </si>
  <si>
    <r>
      <rPr>
        <sz val="10"/>
        <color rgb="FF000000"/>
        <rFont val="Aptos Narrow"/>
        <family val="2"/>
        <scheme val="minor"/>
      </rPr>
      <t xml:space="preserve">Date of </t>
    </r>
    <r>
      <rPr>
        <b/>
        <sz val="10"/>
        <color rgb="FF000000"/>
        <rFont val="Aptos Narrow"/>
        <family val="2"/>
        <scheme val="minor"/>
      </rPr>
      <t>First Payment:</t>
    </r>
  </si>
  <si>
    <t>9b</t>
  </si>
  <si>
    <t>10a</t>
  </si>
  <si>
    <t>Were there any changes to the permanent loan (e.g. change in lender, refinancing) during the reporting period?</t>
  </si>
  <si>
    <t>If yes, ATTACH a copy of the loan modification/change documentation)</t>
  </si>
  <si>
    <t>OWNER STATEMENT OF CERTIFICATION</t>
  </si>
  <si>
    <t>Signature of Owner:</t>
  </si>
  <si>
    <t xml:space="preserve">I, the undersigned, a Notary Public in and for said County, in state, hereby certify that </t>
  </si>
  <si>
    <t>(Owner)</t>
  </si>
  <si>
    <t>signed the foregoing instrument, and who (is) (are) known to me, acknowledged before me on this date that, being informed of the contents of this document, (he) (she) (they) executed the same voluntarily on the day the same bears date.</t>
  </si>
  <si>
    <t>Given under my hand and official seal this _______ day of __________________________, 20________.</t>
  </si>
  <si>
    <t>(Seal)</t>
  </si>
  <si>
    <t>Notary Public</t>
  </si>
  <si>
    <t>My Commission Expires:</t>
  </si>
  <si>
    <t>12b.  Date of First Payment:</t>
  </si>
  <si>
    <t>OWNER INFORMATION</t>
  </si>
  <si>
    <t>Late:</t>
  </si>
  <si>
    <t>Amt Prev. Paid:</t>
  </si>
  <si>
    <t>Annual Owner Certification (AOC) Report</t>
  </si>
  <si>
    <t>OCCUPANCY (RENT ROLL) REPORT</t>
  </si>
  <si>
    <t>A development's occupancy data must be remitted via MHCs online Certification Online Portal:</t>
  </si>
  <si>
    <t>Emphasys Certification Portal - System Login (archivemhc.com)</t>
  </si>
  <si>
    <t>OCCPC REPORT</t>
  </si>
  <si>
    <t>SUPPLEMENTAL CERTIFICATION REPORT</t>
  </si>
  <si>
    <t>PART E:</t>
  </si>
  <si>
    <t>PROPERTY CONTACT FORM</t>
  </si>
  <si>
    <t>PART D:</t>
  </si>
  <si>
    <t>DEVELOPMENT FINANCIAL ANALYSIS REPORT (DFAR)</t>
  </si>
  <si>
    <t>PART C:</t>
  </si>
  <si>
    <t>PART B:</t>
  </si>
  <si>
    <t>PART A:</t>
  </si>
  <si>
    <t>Manual Processing  Fee</t>
  </si>
  <si>
    <t>MAOI</t>
  </si>
  <si>
    <t>ACCEPTABLE W/DEFIENCY</t>
  </si>
  <si>
    <t>Failure to meet targeted SNP unit obligation</t>
  </si>
  <si>
    <t>✔</t>
  </si>
  <si>
    <t>VETERAN</t>
  </si>
  <si>
    <t>NONCOMPLIANT</t>
  </si>
  <si>
    <t>Failure to meet targeted DIT unit obligation</t>
  </si>
  <si>
    <t>✖</t>
  </si>
  <si>
    <t>EXTENDED</t>
  </si>
  <si>
    <t>Failure to meet targeted DIT rent adjustment obligation</t>
  </si>
  <si>
    <r>
      <t xml:space="preserve">Targeted Special Needs Population </t>
    </r>
    <r>
      <rPr>
        <i/>
        <sz val="10"/>
        <color rgb="FF000000"/>
        <rFont val="Aptos Narrow"/>
        <family val="2"/>
        <scheme val="minor"/>
      </rPr>
      <t>(Check all that apply)</t>
    </r>
  </si>
  <si>
    <t>Veteran</t>
  </si>
  <si>
    <t xml:space="preserve">    MAOI</t>
  </si>
  <si>
    <t>Elderly</t>
  </si>
  <si>
    <r>
      <t>Were all unit targeted to house the listed special needs population(s) occupied by the elected qualified special needs household?</t>
    </r>
    <r>
      <rPr>
        <i/>
        <sz val="10"/>
        <color rgb="FF000000"/>
        <rFont val="Aptos Narrow"/>
        <family val="2"/>
        <scheme val="minor"/>
      </rPr>
      <t xml:space="preserve"> (Attach evidence to support targeted population eligibility)</t>
    </r>
  </si>
  <si>
    <t>If no, did the property engage in aggressive marketing in an attempt to house the targeted special needs population?</t>
  </si>
  <si>
    <r>
      <t xml:space="preserve">If the project fell below the targeted special needs unit obligtion, was each vacated unit held for 30-days to allow for aggressive marketing, outreach and referral? </t>
    </r>
    <r>
      <rPr>
        <i/>
        <sz val="10"/>
        <color rgb="FF000000"/>
        <rFont val="Aptos Narrow"/>
        <family val="2"/>
        <scheme val="minor"/>
      </rPr>
      <t>(Attach of a current Rent Roll, Referral form/outreach communication and Unit Make Ready Report)</t>
    </r>
  </si>
  <si>
    <t>HOUSING FOR VETERANS</t>
  </si>
  <si>
    <r>
      <t xml:space="preserve">No. of units at the project </t>
    </r>
    <r>
      <rPr>
        <b/>
        <sz val="10"/>
        <rFont val="Aptos Narrow"/>
        <family val="2"/>
        <scheme val="minor"/>
      </rPr>
      <t>targeted</t>
    </r>
    <r>
      <rPr>
        <sz val="10"/>
        <rFont val="Aptos Narrow"/>
        <family val="2"/>
        <scheme val="minor"/>
      </rPr>
      <t xml:space="preserve"> to house qualified individuals of this special needs population type?</t>
    </r>
  </si>
  <si>
    <r>
      <t xml:space="preserve">No. of units at the project </t>
    </r>
    <r>
      <rPr>
        <b/>
        <sz val="10"/>
        <rFont val="Aptos Narrow"/>
        <family val="2"/>
        <scheme val="minor"/>
      </rPr>
      <t>HOUSED</t>
    </r>
    <r>
      <rPr>
        <sz val="10"/>
        <rFont val="Aptos Narrow"/>
        <family val="2"/>
        <scheme val="minor"/>
      </rPr>
      <t xml:space="preserve"> by qualified individuals of this special needs population type?</t>
    </r>
  </si>
  <si>
    <t>Resident Information</t>
  </si>
  <si>
    <t>Unit Obligation</t>
  </si>
  <si>
    <t>NO.</t>
  </si>
  <si>
    <t>UNIT NO.</t>
  </si>
  <si>
    <t>RESIDENT NAME</t>
  </si>
  <si>
    <t>MOVE-IN DATE</t>
  </si>
  <si>
    <t>MOVE-OUT DATE</t>
  </si>
  <si>
    <t>% of AMI</t>
  </si>
  <si>
    <t>HOUSING FOR DISABLED PERSONS TARGETED BY MS AFFIRMATIVE OLMSTEAD INITIATIVE (MAOI)</t>
  </si>
  <si>
    <t xml:space="preserve">HOUSING FOR THE ELDERLY </t>
  </si>
  <si>
    <t xml:space="preserve">Are there any members of this special needs population satisfying a required deeper income target obligation?  If Yes, use the chart to identify each qualified individual/household. </t>
  </si>
  <si>
    <t>By:</t>
  </si>
  <si>
    <t>PROPERTY INFORMATION</t>
  </si>
  <si>
    <t>Property Name</t>
  </si>
  <si>
    <t>Property Address</t>
  </si>
  <si>
    <t>Onsite Manager</t>
  </si>
  <si>
    <t>Project Number</t>
  </si>
  <si>
    <t>Property Phone Number</t>
  </si>
  <si>
    <t>Onsite Manager Number</t>
  </si>
  <si>
    <t>Owner Name</t>
  </si>
  <si>
    <t>Tax ID Number</t>
  </si>
  <si>
    <t>Entity Name</t>
  </si>
  <si>
    <t>Office Phone Number</t>
  </si>
  <si>
    <t>Mobile Number</t>
  </si>
  <si>
    <t>Email</t>
  </si>
  <si>
    <t>Mailing Address</t>
  </si>
  <si>
    <t>MANAGEMENT COMPANY</t>
  </si>
  <si>
    <t>Person/Entity</t>
  </si>
  <si>
    <t>Title/Capacity</t>
  </si>
  <si>
    <t>Ownership Percentage</t>
  </si>
  <si>
    <t>Title</t>
  </si>
  <si>
    <t>Contact Number</t>
  </si>
  <si>
    <t>Signature:</t>
  </si>
  <si>
    <t>(For seamless communication, be sure to update this form as changes occur.)</t>
  </si>
  <si>
    <t>Primary Owner Contact:</t>
  </si>
  <si>
    <t>ON-SITE CONTACT INFORMATION</t>
  </si>
  <si>
    <t>On-Site Contact</t>
  </si>
  <si>
    <t xml:space="preserve">The undersigned certifies that ALL INFORMATION included in this AOC Report and Attachments in support thereof, are true, accurate and complete.  The undersigned further understands that any misrepresentations in this AOC Report may result in the filing of IRS Form 8823 Report of Noncompliance and/or debarment/suspension from future program partcipation in programs administered by the Mississippi Home Corporation (MHC). </t>
  </si>
  <si>
    <r>
      <t xml:space="preserve">EUP Administrative Fee, </t>
    </r>
    <r>
      <rPr>
        <i/>
        <sz val="10"/>
        <rFont val="Aptos Narrow"/>
        <family val="2"/>
        <scheme val="minor"/>
      </rPr>
      <t>Yr. 16 &amp; beyond</t>
    </r>
  </si>
  <si>
    <t xml:space="preserve">An annual report of occupancy data is required of ALL owners of active (PIS) HTC developments.  At minimum, the occupancy report is to include unit specific household eligibility information (e.g., income, student status, rental rate, utility allowance, etc.)  </t>
  </si>
  <si>
    <t>DIRECTIONS:  This form is to be completed by owners of developments that received its credit allocation from the portion of the state ceiling set-aside for projects involving "qualified non-profit organizations" under Section 42(h)(5) of the Internal Revenue Code.</t>
  </si>
  <si>
    <t>Daily</t>
  </si>
  <si>
    <t>Weekly</t>
  </si>
  <si>
    <t>Monthly</t>
  </si>
  <si>
    <t>Semi-Annually</t>
  </si>
  <si>
    <t>Bi-Annually</t>
  </si>
  <si>
    <t>Annually</t>
  </si>
  <si>
    <t>Never</t>
  </si>
  <si>
    <t>OTHER</t>
  </si>
  <si>
    <t>QUALIFIED MAOI?</t>
  </si>
  <si>
    <t>PREVIOUSLY HOMELESS?</t>
  </si>
  <si>
    <t>Deeper -Income Targeted?</t>
  </si>
  <si>
    <t>YES/NO</t>
  </si>
  <si>
    <t>QUALIFIED VETERAN?</t>
  </si>
  <si>
    <t>QUALIFIED ELDERLY?</t>
  </si>
  <si>
    <t xml:space="preserve">Complete the chart below to list the ELIGIBLE ELDERLY resident satisfying the DEEPER INCOME TARGET obligation for the property. </t>
  </si>
  <si>
    <r>
      <t xml:space="preserve">The required percentage of households has been qualified </t>
    </r>
    <r>
      <rPr>
        <i/>
        <sz val="11"/>
        <rFont val="Aptos Narrow"/>
        <family val="2"/>
        <scheme val="minor"/>
      </rPr>
      <t>at or above</t>
    </r>
    <r>
      <rPr>
        <sz val="11"/>
        <rFont val="Aptos Narrow"/>
        <family val="2"/>
        <scheme val="minor"/>
      </rPr>
      <t xml:space="preserve"> 61% of the AMGI as outlined for mixed‐income developments in accordance with the governing QAP.</t>
    </r>
  </si>
  <si>
    <t>PART A - ADDENDUM</t>
  </si>
  <si>
    <t>In the space below, decribe any other participation NOT already indicated in questions #4 througn #7 above.</t>
  </si>
  <si>
    <t>PART B - Exhibit B</t>
  </si>
  <si>
    <t xml:space="preserve">PART B </t>
  </si>
  <si>
    <t>PART B - Exhibit A</t>
  </si>
  <si>
    <t xml:space="preserve">DIRECTIONS:  Complete the sections below to identify all development‐based rental assistance (DBRA) provided to qualified households throughout the certification period.  ATTACH  a copy of the monthly financial statements, general ledgers, and ORA Lease Addendum for the covered period.    Use an additonal sheet, as needed. </t>
  </si>
  <si>
    <t xml:space="preserve">Annual Owner Certification (AOC) Report </t>
  </si>
  <si>
    <t>SPECIAL NEEDS HOUSING &amp; DEEPER-INCOME TARGETING UNIT STATUS REPORT</t>
  </si>
  <si>
    <t>DEVELOPMENT BASED RENTAL ASSISTANCE ACTIVITY REPORT</t>
  </si>
  <si>
    <t>DIRECTIONS:  Complete the following report based on compliance activity and fulfillment of state obligations during the reporrting period.  For any question marked "No", please provide an explanation in Part IV and attach support documentation, where applicable.</t>
  </si>
  <si>
    <t>RENTAL ASSISTANCE</t>
  </si>
  <si>
    <r>
      <t xml:space="preserve">OWNER'S STATEMENT OF EXPLANATION &amp; CERTIFICATION </t>
    </r>
    <r>
      <rPr>
        <i/>
        <sz val="12"/>
        <color rgb="FF000000"/>
        <rFont val="Aptos Narrow"/>
        <family val="2"/>
        <scheme val="minor"/>
      </rPr>
      <t>(Attach an additional sheet, if needed)</t>
    </r>
  </si>
  <si>
    <t>PART V</t>
  </si>
  <si>
    <t xml:space="preserve"> ATTACHMENTS (If Applicable)</t>
  </si>
  <si>
    <r>
      <t xml:space="preserve">Utility Allowance Schedule(s) Support Documenation - </t>
    </r>
    <r>
      <rPr>
        <i/>
        <sz val="11"/>
        <color theme="1"/>
        <rFont val="Aptos Narrow"/>
        <family val="2"/>
        <scheme val="minor"/>
      </rPr>
      <t>a schedule covering the FULL certification period is required</t>
    </r>
  </si>
  <si>
    <t>Copies of corrective action documentation addressing "owner-identified" noncompliance events</t>
  </si>
  <si>
    <t xml:space="preserve">Written Plan of Action/Statement of Response </t>
  </si>
  <si>
    <r>
      <t xml:space="preserve">One hundred percent (100%) of the development’s units have been set aside for the </t>
    </r>
    <r>
      <rPr>
        <b/>
        <sz val="11"/>
        <rFont val="Aptos Narrow"/>
        <family val="2"/>
        <scheme val="minor"/>
      </rPr>
      <t>elderly population</t>
    </r>
    <r>
      <rPr>
        <sz val="11"/>
        <rFont val="Aptos Narrow"/>
        <family val="2"/>
        <scheme val="minor"/>
      </rPr>
      <t xml:space="preserve"> that meet the requirements as defined by Rural Development or the Department of Housing and Urban Development (HUD) for elderly housing and accessibility for handicapped persons.</t>
    </r>
  </si>
  <si>
    <r>
      <t xml:space="preserve">Occupancy and rents have been </t>
    </r>
    <r>
      <rPr>
        <b/>
        <sz val="11"/>
        <rFont val="Aptos Narrow"/>
        <family val="2"/>
        <scheme val="minor"/>
      </rPr>
      <t>further income/rent restricted</t>
    </r>
    <r>
      <rPr>
        <sz val="11"/>
        <rFont val="Aptos Narrow"/>
        <family val="2"/>
        <scheme val="minor"/>
      </rPr>
      <t xml:space="preserve"> beyond the federal minimum set aside and each housheold in the set aside has been qualified at a MORE RESTRICTIVE income/rent threshold than the federal minimum set aside (i.e., 30% or 50% of the AMGI). </t>
    </r>
    <r>
      <rPr>
        <i/>
        <sz val="11"/>
        <rFont val="Aptos Narrow"/>
        <family val="2"/>
        <scheme val="minor"/>
      </rPr>
      <t xml:space="preserve"> If Yes, COMPLETE &amp; ATTACH </t>
    </r>
    <r>
      <rPr>
        <b/>
        <i/>
        <sz val="11"/>
        <rFont val="Aptos Narrow"/>
        <family val="2"/>
        <scheme val="minor"/>
      </rPr>
      <t>Part B - Exhibit A</t>
    </r>
    <r>
      <rPr>
        <i/>
        <sz val="11"/>
        <rFont val="Aptos Narrow"/>
        <family val="2"/>
        <scheme val="minor"/>
      </rPr>
      <t xml:space="preserve"> - SPECIAL NEEDS HOUSING UNIT STATUS REPORT.</t>
    </r>
  </si>
  <si>
    <r>
      <t xml:space="preserve">A </t>
    </r>
    <r>
      <rPr>
        <b/>
        <sz val="11"/>
        <rFont val="Aptos Narrow"/>
        <family val="2"/>
      </rPr>
      <t>Student &amp; Rent Declaration</t>
    </r>
    <r>
      <rPr>
        <sz val="11"/>
        <rFont val="Aptos Narrow"/>
        <family val="2"/>
      </rPr>
      <t xml:space="preserve"> (Self-Certification) has been received for each previously qualified low-income household.</t>
    </r>
  </si>
  <si>
    <r>
      <t xml:space="preserve">The owner, in jurisdictions where there is no housing authority, has informed the local public housing authority (PHA) of vacancies and given priority in leasing  to individuals on the </t>
    </r>
    <r>
      <rPr>
        <b/>
        <sz val="11"/>
        <color rgb="FF000000"/>
        <rFont val="Aptos Narrow"/>
        <family val="2"/>
      </rPr>
      <t xml:space="preserve">PHAs waiting list </t>
    </r>
    <r>
      <rPr>
        <sz val="11"/>
        <color rgb="FF000000"/>
        <rFont val="Aptos Narrow"/>
        <family val="2"/>
      </rPr>
      <t>who applied for housing.</t>
    </r>
  </si>
  <si>
    <t>PART B - Exhibit C</t>
  </si>
  <si>
    <t>Date of Occurrence:</t>
  </si>
  <si>
    <t>BUILDING/UNIT INFORMATION</t>
  </si>
  <si>
    <t>BIN</t>
  </si>
  <si>
    <t>UNIT</t>
  </si>
  <si>
    <t>STATUS OF UNIT</t>
  </si>
  <si>
    <t>DISPLACED?</t>
  </si>
  <si>
    <t>In the chart below, list the building and unit numbers affected during the incident.</t>
  </si>
  <si>
    <t>TOTAL NO. Household Displaced?</t>
  </si>
  <si>
    <r>
      <t xml:space="preserve">In the space below, briefly decribe the </t>
    </r>
    <r>
      <rPr>
        <b/>
        <sz val="11"/>
        <rFont val="Aptos Narrow"/>
        <family val="2"/>
        <scheme val="minor"/>
      </rPr>
      <t>EXTENT</t>
    </r>
    <r>
      <rPr>
        <sz val="11"/>
        <rFont val="Aptos Narrow"/>
        <family val="2"/>
        <scheme val="minor"/>
      </rPr>
      <t xml:space="preserve"> of the damage(s). </t>
    </r>
  </si>
  <si>
    <r>
      <t xml:space="preserve">In the space below, briefly decribe the </t>
    </r>
    <r>
      <rPr>
        <b/>
        <sz val="11"/>
        <rFont val="Aptos Narrow"/>
        <family val="2"/>
        <scheme val="minor"/>
      </rPr>
      <t>CAUSE</t>
    </r>
    <r>
      <rPr>
        <sz val="11"/>
        <rFont val="Aptos Narrow"/>
        <family val="2"/>
        <scheme val="minor"/>
      </rPr>
      <t xml:space="preserve"> of the damage(s). </t>
    </r>
  </si>
  <si>
    <t>ESTIMATED COST OF REPAIRS:</t>
  </si>
  <si>
    <t>*ATTACH a copy of the Insurance Estimate.</t>
  </si>
  <si>
    <t>CASUALTY LOSS DETAILS</t>
  </si>
  <si>
    <t>NOTICE OF PHYSICAL DAMAGE &amp; CASUALTY LOSS</t>
  </si>
  <si>
    <t xml:space="preserve"> Preparer's Printed Name:</t>
  </si>
  <si>
    <t>Preparer's Signature:</t>
  </si>
  <si>
    <t>Remember to retain a copy of this Report for your records!</t>
  </si>
  <si>
    <r>
      <t xml:space="preserve">NOTE:  In the event of a casualty loss in a presidentially declared major disaster area, Rev. Proc. 2007-54  provides that the building's qualified basis at the end of the taxable years of the casualty loss and restoration period is the qualified basis at the end of the taxable year that preceded the President's 
major disaster declaration. See Rev. Proc. 2007-54, Section 7.02.  </t>
    </r>
    <r>
      <rPr>
        <i/>
        <sz val="10"/>
        <color rgb="FF000000"/>
        <rFont val="Aptos Narrow"/>
        <family val="2"/>
        <scheme val="minor"/>
      </rPr>
      <t>Source:  IRS.gov</t>
    </r>
  </si>
  <si>
    <t>OCCUPANCY (RENT ROLL) REPORT (PER LI BUILDING)</t>
  </si>
  <si>
    <t>PARTNERS/DIRECTORS</t>
  </si>
  <si>
    <t xml:space="preserve">Supplemental Certification of HTC Compliance Report </t>
  </si>
  <si>
    <t>CHECK HERE, IF FIRST REPORTER:</t>
  </si>
  <si>
    <t>All temporarily housed individuals/households have been fully certified under all applicable Sec. 42 IRC requirements?</t>
  </si>
  <si>
    <r>
      <rPr>
        <b/>
        <sz val="12"/>
        <color rgb="FF000000"/>
        <rFont val="Aptos Narrow"/>
        <family val="2"/>
        <scheme val="minor"/>
      </rPr>
      <t xml:space="preserve">NOTES/COMMENTS. </t>
    </r>
    <r>
      <rPr>
        <sz val="12"/>
        <color rgb="FF000000"/>
        <rFont val="Aptos Narrow"/>
        <family val="2"/>
        <scheme val="minor"/>
      </rPr>
      <t xml:space="preserve"> </t>
    </r>
    <r>
      <rPr>
        <sz val="10"/>
        <color rgb="FF000000"/>
        <rFont val="Aptos Narrow"/>
        <family val="2"/>
        <scheme val="minor"/>
      </rPr>
      <t xml:space="preserve">Use the space below to explain any unusual circumstances prohibiting efforts to provide housing to the targeted special needs population.  </t>
    </r>
  </si>
  <si>
    <t>APR</t>
  </si>
  <si>
    <t xml:space="preserve">OWNER RENTAL ASSISTANCE ACTVITY LOG:  If an owner agreed to provide owner (private) rental assistance to select number of units at the development, complete the chart below.  Do NOT include rental assitance provided by the public housing authority/project-based Section 8 rental assistance, project-based vouchers, a project-based annual contribution contract or RHS rental assistance.  </t>
  </si>
  <si>
    <t>Check here if figures in the chart include any carryover RA arrearage. Explain in Part II.</t>
  </si>
  <si>
    <t>Tax I.D.  No.:</t>
  </si>
  <si>
    <t>Is the permanent loan for the subject development with Rural Housing Service (RHS)?</t>
  </si>
  <si>
    <r>
      <t xml:space="preserve">Did the development receive IRS Form 8609 </t>
    </r>
    <r>
      <rPr>
        <i/>
        <sz val="11"/>
        <color rgb="FF000000"/>
        <rFont val="Aptos Narrow"/>
        <family val="2"/>
        <scheme val="minor"/>
      </rPr>
      <t>Low-Income Housing Credit Allocation and Certification</t>
    </r>
    <r>
      <rPr>
        <sz val="11"/>
        <color rgb="FF000000"/>
        <rFont val="Aptos Narrow"/>
        <family val="2"/>
        <scheme val="minor"/>
      </rPr>
      <t xml:space="preserve"> form(s) during the report period?</t>
    </r>
  </si>
  <si>
    <r>
      <t xml:space="preserve">Is the certification period the </t>
    </r>
    <r>
      <rPr>
        <b/>
        <sz val="11"/>
        <color rgb="FF000000"/>
        <rFont val="Aptos Narrow"/>
        <family val="2"/>
        <scheme val="minor"/>
      </rPr>
      <t>FIRST YEAR</t>
    </r>
    <r>
      <rPr>
        <sz val="11"/>
        <color rgb="FF000000"/>
        <rFont val="Aptos Narrow"/>
        <family val="2"/>
        <scheme val="minor"/>
      </rPr>
      <t xml:space="preserve"> of the CREDIT PERIOD for the subject development? </t>
    </r>
  </si>
  <si>
    <t>Annual Debt Service Payment Amount?</t>
  </si>
  <si>
    <t xml:space="preserve">Year-End Replacement Reserve Account Balance (ATTACH COPY OF YEAR-END ACCOUNT STATEMENT) </t>
  </si>
  <si>
    <t>Total funds DEPOSITED into the Replacement Reserve Account as of Year-end.</t>
  </si>
  <si>
    <t>Total funds WITHDRAWN from the Replacement Reserve Account over the report period.</t>
  </si>
  <si>
    <t>Were any withdrawals used for capital improvements and/or system replacements in accordance with the requirements of the governing QAP?</t>
  </si>
  <si>
    <r>
      <t xml:space="preserve">EXPLANATION OF WITHDRAWAL:  </t>
    </r>
    <r>
      <rPr>
        <sz val="10"/>
        <color theme="0" tint="-4.9989318521683403E-2"/>
        <rFont val="Aptos Narrow"/>
        <family val="2"/>
        <scheme val="minor"/>
      </rPr>
      <t xml:space="preserve">IF A WITHDRAWAL WAS TAKEN FROM THE OR ACCOUNT (refer to #8),  in the space provided, prepare a written response detailing the reason funds were withdrawn, including an explanation for why the withdrawal amounts is less than withdrawal guidelines.  Include any plans to replenish the account.  ATTACH additional sheet if needed. </t>
    </r>
  </si>
  <si>
    <t>Year-End Operating Reserve Account Balance (ATTACH COPY OF YEAR-END ACCOUNT STATEMENT or LETTER OF CREDIT).</t>
  </si>
  <si>
    <t>Total funds DEPOSITED into the Operating Reserve Account as of Year-end.</t>
  </si>
  <si>
    <t>Total funds WITHDRAWN from the Operating Reserve Account over the report period.</t>
  </si>
  <si>
    <t>Were withdrawals handled in accordance with the requirements of the governing QAP?</t>
  </si>
  <si>
    <t xml:space="preserve">PRIMARY LENDER INFORMATION </t>
  </si>
  <si>
    <r>
      <t xml:space="preserve">Name and Address of </t>
    </r>
    <r>
      <rPr>
        <b/>
        <sz val="11"/>
        <rFont val="Aptos Narrow"/>
        <family val="2"/>
        <scheme val="minor"/>
      </rPr>
      <t>CURRENT</t>
    </r>
    <r>
      <rPr>
        <sz val="11"/>
        <rFont val="Aptos Narrow"/>
        <family val="2"/>
        <scheme val="minor"/>
      </rPr>
      <t xml:space="preserve"> Primary Lender:</t>
    </r>
  </si>
  <si>
    <t xml:space="preserve">HOUSEHOLD   </t>
  </si>
  <si>
    <t>(at time of occurrence)</t>
  </si>
  <si>
    <r>
      <t xml:space="preserve">The development has been operated as a qualified </t>
    </r>
    <r>
      <rPr>
        <b/>
        <sz val="11"/>
        <rFont val="Aptos Narrow"/>
        <family val="2"/>
        <scheme val="minor"/>
      </rPr>
      <t>single-family lease purchase</t>
    </r>
    <r>
      <rPr>
        <sz val="11"/>
        <rFont val="Aptos Narrow"/>
        <family val="2"/>
        <scheme val="minor"/>
      </rPr>
      <t xml:space="preserve"> project, including providing a lease-purchase orientation manual, sample lease-purchase agreement, and homebuyer training.  A Right of First Refusal offer has been extended to qualified residents in accordance with the governing QAP, LURA, and Homeownership Conversion Plan.</t>
    </r>
  </si>
  <si>
    <t xml:space="preserve">Did the construction loan for the development convert to a permanent loan during the reporting period? </t>
  </si>
  <si>
    <t>If YES, attach a copy of all 8609 forms with Part II completed and proceed to question A.  If NO, attach a copy of the Multiple Building Election Certification form.</t>
  </si>
  <si>
    <r>
      <rPr>
        <b/>
        <i/>
        <sz val="11"/>
        <rFont val="Aptos Narrow"/>
        <family val="2"/>
      </rPr>
      <t>If NO, STOP</t>
    </r>
    <r>
      <rPr>
        <i/>
        <sz val="11"/>
        <rFont val="Aptos Narrow"/>
        <family val="2"/>
      </rPr>
      <t xml:space="preserve">.  A DFAR is not due for the subject development this year!  If YES, ATTACH a copy of the loan closing documents, including the Promissory Note and complete this report in its entirety.  </t>
    </r>
  </si>
  <si>
    <t xml:space="preserve">             (in years)</t>
  </si>
  <si>
    <r>
      <t xml:space="preserve">Was the permanent loan with the entity listed on line #9 PAID OFF during the reporting period?  </t>
    </r>
    <r>
      <rPr>
        <i/>
        <sz val="11"/>
        <rFont val="Aptos Narrow"/>
        <family val="2"/>
        <scheme val="minor"/>
      </rPr>
      <t>(If yes, ATTACH evidence of PAYOFF).</t>
    </r>
  </si>
  <si>
    <r>
      <t xml:space="preserve">If YES, does RHS have the development on an approved Workout Plan?  </t>
    </r>
    <r>
      <rPr>
        <i/>
        <sz val="11"/>
        <rFont val="Aptos Narrow"/>
        <family val="2"/>
        <scheme val="minor"/>
      </rPr>
      <t>(If YES, attach copy of approved Workout Plan)</t>
    </r>
    <r>
      <rPr>
        <sz val="11"/>
        <rFont val="Aptos Narrow"/>
        <family val="2"/>
        <scheme val="minor"/>
      </rPr>
      <t xml:space="preserve"> </t>
    </r>
  </si>
  <si>
    <t>CHECK, if there has been a lender change.</t>
  </si>
  <si>
    <t>(Managing Member/Authorized Signatory)</t>
  </si>
  <si>
    <r>
      <t xml:space="preserve">The required minimum number of units has been set aside and occupied by a qualified </t>
    </r>
    <r>
      <rPr>
        <b/>
        <sz val="11"/>
        <rFont val="Aptos Narrow"/>
        <family val="2"/>
        <scheme val="minor"/>
      </rPr>
      <t>special‐ needs household</t>
    </r>
    <r>
      <rPr>
        <sz val="11"/>
        <rFont val="Aptos Narrow"/>
        <family val="2"/>
        <scheme val="minor"/>
      </rPr>
      <t xml:space="preserve"> (i.e. veterans or persons with disability).  </t>
    </r>
    <r>
      <rPr>
        <i/>
        <sz val="11"/>
        <rFont val="Aptos Narrow"/>
        <family val="2"/>
        <scheme val="minor"/>
      </rPr>
      <t xml:space="preserve">If Yes or No, COMPLETE &amp; ATTACH </t>
    </r>
    <r>
      <rPr>
        <b/>
        <i/>
        <sz val="11"/>
        <rFont val="Aptos Narrow"/>
        <family val="2"/>
        <scheme val="minor"/>
      </rPr>
      <t>Part B - Exhibit A</t>
    </r>
    <r>
      <rPr>
        <i/>
        <sz val="11"/>
        <rFont val="Aptos Narrow"/>
        <family val="2"/>
        <scheme val="minor"/>
      </rPr>
      <t xml:space="preserve"> - SPECIAL NEEDS HOUSING UNIT STATUS REPORT.</t>
    </r>
  </si>
  <si>
    <r>
      <rPr>
        <b/>
        <sz val="11"/>
        <rFont val="Aptos Narrow"/>
        <family val="2"/>
        <scheme val="minor"/>
      </rPr>
      <t>Development/Community Services</t>
    </r>
    <r>
      <rPr>
        <sz val="11"/>
        <rFont val="Aptos Narrow"/>
        <family val="2"/>
        <scheme val="minor"/>
      </rPr>
      <t xml:space="preserve"> (appropriate to the tenant population) have been provided in accordance with the governing QAP AND written documention (e.g., service log book, event literature or activity reports) supporting  events offered during the reporting period are available upon request.</t>
    </r>
  </si>
  <si>
    <r>
      <t xml:space="preserve">The property HAS experienced a </t>
    </r>
    <r>
      <rPr>
        <b/>
        <sz val="11"/>
        <rFont val="Aptos Narrow"/>
        <family val="2"/>
      </rPr>
      <t>CASUALTY LOSS</t>
    </r>
    <r>
      <rPr>
        <sz val="11"/>
        <rFont val="Aptos Narrow"/>
        <family val="2"/>
      </rPr>
      <t xml:space="preserve"> which resulted in the displacement of residents or placed the affected building out of service for a period equal to or greater than 30 days.  </t>
    </r>
    <r>
      <rPr>
        <i/>
        <sz val="11"/>
        <rFont val="Aptos Narrow"/>
        <family val="2"/>
      </rPr>
      <t xml:space="preserve">If Yes, complete &amp; attach </t>
    </r>
    <r>
      <rPr>
        <b/>
        <i/>
        <sz val="11"/>
        <rFont val="Aptos Narrow"/>
        <family val="2"/>
      </rPr>
      <t>Part B - Exhibit C</t>
    </r>
    <r>
      <rPr>
        <i/>
        <sz val="11"/>
        <rFont val="Aptos Narrow"/>
        <family val="2"/>
      </rPr>
      <t xml:space="preserve"> NOTICE OF PHYSICAL DAMAGE &amp; CASUALTY LOSS form.</t>
    </r>
  </si>
  <si>
    <t xml:space="preserve">The undersigned certifies that ALL INFORMATION included in this AOC Report and Attachments in support thereof, are true, accurate and complete.  The undersigned further understands that any misrepresentations in this AOC Report may result in the filing of IRS Form 8823 Report of Noncompliance and/or debarment/suspension from future partcipation in programs administered by the Mississippi Home Corporation (MHC). </t>
  </si>
  <si>
    <r>
      <rPr>
        <b/>
        <sz val="11"/>
        <rFont val="Aptos Narrow"/>
        <family val="2"/>
        <scheme val="minor"/>
      </rPr>
      <t>Development‐based Rental Assistance (DBRA)</t>
    </r>
    <r>
      <rPr>
        <sz val="11"/>
        <rFont val="Aptos Narrow"/>
        <family val="2"/>
        <scheme val="minor"/>
      </rPr>
      <t xml:space="preserve"> has been provided to at least fifty‐one percent (51%) of the development’s units. </t>
    </r>
    <r>
      <rPr>
        <i/>
        <sz val="11"/>
        <rFont val="Aptos Narrow"/>
        <family val="2"/>
        <scheme val="minor"/>
      </rPr>
      <t xml:space="preserve"> If  the DBRA was required/provided by the OWNER (Yes or No response), complete &amp; attach </t>
    </r>
    <r>
      <rPr>
        <b/>
        <i/>
        <sz val="11"/>
        <rFont val="Aptos Narrow"/>
        <family val="2"/>
        <scheme val="minor"/>
      </rPr>
      <t>Part B - Exhibit B</t>
    </r>
    <r>
      <rPr>
        <i/>
        <sz val="11"/>
        <rFont val="Aptos Narrow"/>
        <family val="2"/>
        <scheme val="minor"/>
      </rPr>
      <t xml:space="preserve"> detailing the rental assistance provided during the certification period.  </t>
    </r>
  </si>
  <si>
    <t xml:space="preserve">DIRECTIONS:  This form is to be completed for developments that sustained extensive physical damage or casualty loss that resulted in one or more units or building(s) being out of service for a period equal to or greater than 30-days. </t>
  </si>
  <si>
    <t>Copies of TICs and Demographic Profile forms (ONLY IF REQUESTING DATA-ENTRY BY MHC)</t>
  </si>
  <si>
    <t>Development Financial Analysis Report (DFAR)</t>
  </si>
  <si>
    <r>
      <t xml:space="preserve">Notice of Property Transfer, </t>
    </r>
    <r>
      <rPr>
        <i/>
        <sz val="11"/>
        <rFont val="Aptos Narrow"/>
        <family val="2"/>
        <scheme val="minor"/>
      </rPr>
      <t>if applicable</t>
    </r>
  </si>
  <si>
    <r>
      <t xml:space="preserve">Notice of GP/Management Change Form, </t>
    </r>
    <r>
      <rPr>
        <i/>
        <sz val="11"/>
        <rFont val="Aptos Narrow"/>
        <family val="2"/>
        <scheme val="minor"/>
      </rPr>
      <t>if applicable</t>
    </r>
  </si>
  <si>
    <t>Effective Date:</t>
  </si>
  <si>
    <t>Primary Contact Name*</t>
  </si>
  <si>
    <t>*This contact will be the individual listed in compliance database deemed authorized to receive communication (cc) from the Department.  ONLY ONE PERSON, PER MANAGEMENT CO. ALLOWED.</t>
  </si>
  <si>
    <t>Person/Entity*</t>
  </si>
  <si>
    <t>*Person/Entity must be listed in official (e.g. Bylaws, Operating Agreement, Minutes, Certificate of Resolution, Etc.) records confirming authorization.</t>
  </si>
  <si>
    <r>
      <t xml:space="preserve">Copies of the TIC AND Demographic Profile Reporting Forms, </t>
    </r>
    <r>
      <rPr>
        <i/>
        <sz val="11"/>
        <color theme="1"/>
        <rFont val="Aptos Narrow"/>
        <family val="2"/>
        <scheme val="minor"/>
      </rPr>
      <t>per LI Unit</t>
    </r>
  </si>
  <si>
    <r>
      <t xml:space="preserve">EXPLANATION OF LENDER INFORMATION:  </t>
    </r>
    <r>
      <rPr>
        <sz val="10"/>
        <color theme="0" tint="-4.9989318521683403E-2"/>
        <rFont val="Aptos Narrow"/>
        <family val="2"/>
        <scheme val="minor"/>
      </rPr>
      <t xml:space="preserve">IF A CHANGE IN LENDER (refer to #9) OR the development was on a Workout Plan with RHS,  in the space provided, prepare a written response detailing the reason for the change/Workout Plan.  ATTACH additional sheet if needed. </t>
    </r>
  </si>
  <si>
    <r>
      <t xml:space="preserve">The owner has complied with all terms agreed upon in its application for housing tax credits, including maintaining all </t>
    </r>
    <r>
      <rPr>
        <b/>
        <sz val="11"/>
        <rFont val="Aptos Narrow"/>
        <family val="2"/>
        <scheme val="minor"/>
      </rPr>
      <t xml:space="preserve">common areas </t>
    </r>
    <r>
      <rPr>
        <sz val="11"/>
        <rFont val="Aptos Narrow"/>
        <family val="2"/>
        <scheme val="minor"/>
      </rPr>
      <t xml:space="preserve">and </t>
    </r>
    <r>
      <rPr>
        <b/>
        <sz val="11"/>
        <rFont val="Aptos Narrow"/>
        <family val="2"/>
        <scheme val="minor"/>
      </rPr>
      <t>significant</t>
    </r>
    <r>
      <rPr>
        <sz val="11"/>
        <rFont val="Aptos Narrow"/>
        <family val="2"/>
        <scheme val="minor"/>
      </rPr>
      <t xml:space="preserve"> </t>
    </r>
    <r>
      <rPr>
        <b/>
        <sz val="11"/>
        <rFont val="Aptos Narrow"/>
        <family val="2"/>
        <scheme val="minor"/>
      </rPr>
      <t>amenities</t>
    </r>
    <r>
      <rPr>
        <sz val="11"/>
        <rFont val="Aptos Narrow"/>
        <family val="2"/>
        <scheme val="minor"/>
      </rPr>
      <t xml:space="preserve"> (i.e., business/fitness center,staff unit, etc.), as well as federal and state level program requirements and commitments for which points were awarded. </t>
    </r>
  </si>
  <si>
    <r>
      <t xml:space="preserve">Temporary </t>
    </r>
    <r>
      <rPr>
        <b/>
        <sz val="11"/>
        <rFont val="Aptos Narrow"/>
        <family val="2"/>
      </rPr>
      <t>EMERGENCY HOUSING</t>
    </r>
    <r>
      <rPr>
        <sz val="11"/>
        <rFont val="Aptos Narrow"/>
        <family val="2"/>
      </rPr>
      <t xml:space="preserve"> to Displaced Individuals in relation to the Presidential declaration of MS Severe Storms, Straight-line Winds and Tornadoes (3/26/2023) was provided to eligible displaced individuals during the certification period as authorized by IRS Rev. Procedure 2014-49?  </t>
    </r>
    <r>
      <rPr>
        <i/>
        <sz val="11"/>
        <rFont val="Aptos Narrow"/>
        <family val="2"/>
      </rPr>
      <t xml:space="preserve"> If Yes, complete &amp; attach </t>
    </r>
    <r>
      <rPr>
        <b/>
        <i/>
        <sz val="11"/>
        <rFont val="Aptos Narrow"/>
        <family val="2"/>
      </rPr>
      <t>Part B - Exhibit D</t>
    </r>
    <r>
      <rPr>
        <i/>
        <sz val="11"/>
        <rFont val="Aptos Narrow"/>
        <family val="2"/>
      </rPr>
      <t xml:space="preserve"> - Emergency Housing Status Report</t>
    </r>
  </si>
  <si>
    <t>PART B - Exhibit D</t>
  </si>
  <si>
    <t>EMERGENCY HOUSING STATUS REPORT</t>
  </si>
  <si>
    <t>EMERGENCY HOUSING DETAILS</t>
  </si>
  <si>
    <t>BUILDING/UNIT INFORMATION - HOUSING PROVIDED</t>
  </si>
  <si>
    <t>Use this space to explain the response to questions answered as "No" and attach support documentation where needed.</t>
  </si>
  <si>
    <t>DEVELOPMENT FINANCIAL ANALYSIS CERTIFICATION REPORT</t>
  </si>
  <si>
    <t>NON-PROFIT ORGANIZATION INFORMATION</t>
  </si>
  <si>
    <r>
      <t xml:space="preserve">New </t>
    </r>
    <r>
      <rPr>
        <i/>
        <sz val="10"/>
        <color theme="1"/>
        <rFont val="Calibri"/>
        <family val="2"/>
      </rPr>
      <t>Supplemental Certification of HTC Compliance Report</t>
    </r>
    <r>
      <rPr>
        <sz val="10"/>
        <color theme="1"/>
        <rFont val="Calibri"/>
        <family val="2"/>
      </rPr>
      <t>, with original signature, indicating the appropriate answer and supporting documentation or owner’s statement.</t>
    </r>
  </si>
  <si>
    <t>ANNUAL OWNER CERTIFICATION  (AOC) REPORT</t>
  </si>
  <si>
    <t>Owner's Printed Name:</t>
  </si>
  <si>
    <t>Owner's Signature:</t>
  </si>
  <si>
    <t>Part A - Addendum:  Non-Profit Addendum to OCCPC*</t>
  </si>
  <si>
    <r>
      <t xml:space="preserve">*REQUIRED, </t>
    </r>
    <r>
      <rPr>
        <i/>
        <sz val="10"/>
        <color theme="1"/>
        <rFont val="Aptos Narrow"/>
        <family val="2"/>
        <scheme val="minor"/>
      </rPr>
      <t>where applicable</t>
    </r>
  </si>
  <si>
    <t>Written documentation (Schematic, Operating Agreement, Bylaws/Resolutions, Minutes, Deed) to support updates*</t>
  </si>
  <si>
    <r>
      <t xml:space="preserve">RD Workout Plan, </t>
    </r>
    <r>
      <rPr>
        <i/>
        <sz val="11"/>
        <rFont val="Aptos Narrow"/>
        <family val="2"/>
        <scheme val="minor"/>
      </rPr>
      <t>if applicable</t>
    </r>
    <r>
      <rPr>
        <sz val="11"/>
        <rFont val="Aptos Narrow"/>
        <family val="2"/>
        <scheme val="minor"/>
      </rPr>
      <t>*</t>
    </r>
  </si>
  <si>
    <t>Audited Financial Statement*</t>
  </si>
  <si>
    <t>Utility Allowance Schedule/Letter Support Documentation*</t>
  </si>
  <si>
    <t>Fair Housing Discrimination Adverse Judgement documentation*</t>
  </si>
  <si>
    <t>State/Local Building Code Inspection Report*</t>
  </si>
  <si>
    <t>Written response/documentation to support any explanations*</t>
  </si>
  <si>
    <r>
      <t>Part B - Exhibit A:  Special Needs Housing &amp; Deeper-Income Targeting  Unit Status Report*</t>
    </r>
    <r>
      <rPr>
        <i/>
        <sz val="11"/>
        <rFont val="Aptos Narrow"/>
        <family val="2"/>
        <scheme val="minor"/>
      </rPr>
      <t xml:space="preserve"> </t>
    </r>
  </si>
  <si>
    <t>Part B - Exhibit C:  Notice of Physical Damages &amp; Casualty Loss*</t>
  </si>
  <si>
    <t>Part B - Exhibit D:  Emergency Housing Status Certification Report*</t>
  </si>
  <si>
    <t>Owner Rental Assistance Addendums*</t>
  </si>
  <si>
    <t>IRS Form 8609 Low-Income Housing Credit Allocation and Certification &amp; IRS 8609A  forms*</t>
  </si>
  <si>
    <t>HTC Multiple Building Project Certification*</t>
  </si>
  <si>
    <t>Loan Closing Documents/Modification*</t>
  </si>
  <si>
    <t>MHC 03/2024</t>
  </si>
  <si>
    <t>Complete the chart below listing EACH QUALIFIED VETERAN household.  Include all occupant activity throughout the year, not just year-end occupant information.  Attach documentation supporting SNP household OR evidence of marketing AND outreach.  Use an additional sheet, if needed.</t>
  </si>
  <si>
    <t>Check:</t>
  </si>
  <si>
    <t>Money Order:</t>
  </si>
  <si>
    <t xml:space="preserve">Occupancy Report </t>
  </si>
  <si>
    <r>
      <rPr>
        <b/>
        <sz val="11"/>
        <color theme="1"/>
        <rFont val="Aptos Narrow"/>
        <family val="2"/>
        <scheme val="minor"/>
      </rPr>
      <t>NOTE</t>
    </r>
    <r>
      <rPr>
        <sz val="11"/>
        <color theme="1"/>
        <rFont val="Aptos Narrow"/>
        <family val="2"/>
        <scheme val="minor"/>
      </rPr>
      <t>:  The AOC Report can ONLY be EXECUTED by the owner of record for the Property.  If there has been a change in the ownership GP/approved signatory since the last AOC Report submittal, remit a copy of the Ownership Schematic, Operating Agreement, Resolution, Bylaws, or Minutes to support the change.  NOTE:  Processing fees may apply.</t>
    </r>
  </si>
  <si>
    <r>
      <rPr>
        <b/>
        <sz val="11"/>
        <color theme="1"/>
        <rFont val="Aptos Narrow"/>
        <family val="2"/>
        <scheme val="minor"/>
      </rPr>
      <t>NOTE</t>
    </r>
    <r>
      <rPr>
        <sz val="11"/>
        <color theme="1"/>
        <rFont val="Aptos Narrow"/>
        <family val="2"/>
        <scheme val="minor"/>
      </rPr>
      <t xml:space="preserve">:  The AOC Report can ONLY be EXECUTED by the </t>
    </r>
    <r>
      <rPr>
        <b/>
        <sz val="11"/>
        <color theme="1"/>
        <rFont val="Aptos Narrow"/>
        <family val="2"/>
        <scheme val="minor"/>
      </rPr>
      <t>owner of record</t>
    </r>
    <r>
      <rPr>
        <sz val="11"/>
        <color theme="1"/>
        <rFont val="Aptos Narrow"/>
        <family val="2"/>
        <scheme val="minor"/>
      </rPr>
      <t xml:space="preserve"> for the Property. </t>
    </r>
    <r>
      <rPr>
        <i/>
        <sz val="11"/>
        <color theme="1"/>
        <rFont val="Aptos Narrow"/>
        <family val="2"/>
        <scheme val="minor"/>
      </rPr>
      <t xml:space="preserve"> If there has been a change in the ownership GP/approved signatory since the last AOC Report submittal, remit a copy of the Ownership Schematic, Operating Agreement, Resolution, Bylaws, or Minutes to support the change.  NOTE:  Processing fees may apply.</t>
    </r>
  </si>
  <si>
    <t xml:space="preserve"> Owner's Printed Name:</t>
  </si>
  <si>
    <r>
      <t>DIRECTIONS:</t>
    </r>
    <r>
      <rPr>
        <sz val="10"/>
        <color rgb="FF000000"/>
        <rFont val="Aptos Narrow"/>
        <family val="2"/>
        <scheme val="minor"/>
      </rPr>
      <t xml:space="preserve">  Complete the following report based on compliance activity and fulfillment of state obligations during the reporting period.  For any question marked "No", provide an explanation in Part V and attach support documentation, where applicable.</t>
    </r>
  </si>
  <si>
    <t>Project Name</t>
  </si>
  <si>
    <t>Extended Period Start Date</t>
  </si>
  <si>
    <t>CARPENTER SCHOOL ELDERLY I</t>
  </si>
  <si>
    <t>PEARL RIVER ESTATES</t>
  </si>
  <si>
    <t>SANDHILL ARMS</t>
  </si>
  <si>
    <t>BROADMOOR VILLAGE</t>
  </si>
  <si>
    <t>SOUTHGATE ARMS, LLC</t>
  </si>
  <si>
    <t>SIOUX BAYOU ARMS</t>
  </si>
  <si>
    <t>BRITTANY ESTATES III, LLC</t>
  </si>
  <si>
    <t>PINE HAVEN HEIGHTS II</t>
  </si>
  <si>
    <t>PINE HAVEN ESTATES II</t>
  </si>
  <si>
    <t>PINE HAVEN ESTATES III, LLC</t>
  </si>
  <si>
    <t>DOGWOOD PARK APARTMENTS</t>
  </si>
  <si>
    <t>BAY PARK APARTMENTS PHASE II</t>
  </si>
  <si>
    <t>KIM CO APARTMENTS</t>
  </si>
  <si>
    <t>PALMER HEIGHTS, LLC</t>
  </si>
  <si>
    <t>00-T-003</t>
  </si>
  <si>
    <t>TERRACE PARK APARTMENTS</t>
  </si>
  <si>
    <t>ANDERSON ESTATES</t>
  </si>
  <si>
    <t>BANKSTON ARMS, LLC</t>
  </si>
  <si>
    <t>GROVE APARTMENTS</t>
  </si>
  <si>
    <t>PARK PINES APARTMENTS PH II</t>
  </si>
  <si>
    <t>HERITAGE PARK APARTMENTS</t>
  </si>
  <si>
    <t>HERITAGE PARK APARTMENTS PH II</t>
  </si>
  <si>
    <t>PARK PINES APARTMENTS</t>
  </si>
  <si>
    <t>BAY PARK APARTMENTS</t>
  </si>
  <si>
    <t>DAVID L. JORDAN APT. PHASE III</t>
  </si>
  <si>
    <t>PALMER HEIGHTS II</t>
  </si>
  <si>
    <t>POPLARVILLE ESTATES, LLC</t>
  </si>
  <si>
    <t>KIRBY ROAD ESTATES 00-01</t>
  </si>
  <si>
    <t>WISTERIA ESTATES (00-01)</t>
  </si>
  <si>
    <t>01-T-040</t>
  </si>
  <si>
    <t>CHAPELRIDGE OF BRANDON</t>
  </si>
  <si>
    <t>01-T-052</t>
  </si>
  <si>
    <t>HIGHLAND PARK APARMENTS</t>
  </si>
  <si>
    <t>01-T-053</t>
  </si>
  <si>
    <t>CAMBRIDGE PARK APARTMENTS</t>
  </si>
  <si>
    <t>PARKER ESTATES</t>
  </si>
  <si>
    <t>TERRACES AT SOUTHAVEN (HAMPTON PARK)</t>
  </si>
  <si>
    <t>RIVERWALK APTS. PHASE II</t>
  </si>
  <si>
    <t>WILLOW BEND ESTATES</t>
  </si>
  <si>
    <t>STONEGATE APARTMENTS</t>
  </si>
  <si>
    <t>FOX RIDGE ESTATES II</t>
  </si>
  <si>
    <t>SHADY LANE II</t>
  </si>
  <si>
    <t>ACADEMY HEIGHTS II</t>
  </si>
  <si>
    <t>WILLIAMSBURG ESTATES</t>
  </si>
  <si>
    <t>ELLIOT PROPERTIES APARTMENTS</t>
  </si>
  <si>
    <t>DURANT FAMILY APARTMENTS</t>
  </si>
  <si>
    <t>TUNICA VILLA</t>
  </si>
  <si>
    <t>KIRBY ROAD ESTATES 01-02</t>
  </si>
  <si>
    <t>WISTERIA ESTATES 01-02</t>
  </si>
  <si>
    <t>VICKERS ESTATES, LLC</t>
  </si>
  <si>
    <t>WILLIAMSBURG ESTATES II</t>
  </si>
  <si>
    <t>PARK SPRINGS APARTMENTS</t>
  </si>
  <si>
    <t>02-T-001</t>
  </si>
  <si>
    <t>FOREST PARK APARTMENTS</t>
  </si>
  <si>
    <t>02-T-040</t>
  </si>
  <si>
    <t>CLEVELAND PCH RESIDENTIAL LIVING</t>
  </si>
  <si>
    <t>EDENWOOD APARTMENTS</t>
  </si>
  <si>
    <t>HORN LAKE ESTATES, L. P.</t>
  </si>
  <si>
    <t>CHANDLER PARK APARTMENTS</t>
  </si>
  <si>
    <t>CHANDLER PARK II APTS.</t>
  </si>
  <si>
    <t>LEFLORE ESTATES- CURTIS MOORE</t>
  </si>
  <si>
    <t>ROXBURY ESTATES</t>
  </si>
  <si>
    <t>CYPRESS PARK II APARTMENTS</t>
  </si>
  <si>
    <t>CAMERON PARK I APARTMENTS</t>
  </si>
  <si>
    <t>CARPENTER ESTATES</t>
  </si>
  <si>
    <t>HORIZON APARTMENTS</t>
  </si>
  <si>
    <t>03-T-036</t>
  </si>
  <si>
    <t>TUPELO TRACE APARTMENTS</t>
  </si>
  <si>
    <t>03-T-037</t>
  </si>
  <si>
    <t>CHAPELRIDGE OF RICHLAND</t>
  </si>
  <si>
    <t>03-T-038</t>
  </si>
  <si>
    <t>CHAPELRIDGE OF JACKSON</t>
  </si>
  <si>
    <t>CROSS CREEK APARTMENTS</t>
  </si>
  <si>
    <t>ARRINGTON ESTATES</t>
  </si>
  <si>
    <t>EDDIE JOHNSON ESTATES</t>
  </si>
  <si>
    <t>BROOKSTONE PARK APARTMENTS I</t>
  </si>
  <si>
    <t>PIEDMONT PARK I</t>
  </si>
  <si>
    <t>CYPRESS PARK APARTMENTS</t>
  </si>
  <si>
    <t>PIEDMONT PARK II</t>
  </si>
  <si>
    <t>CAMERON PARK II APARTMENTS</t>
  </si>
  <si>
    <t>BLOSSOM APARTMENTS</t>
  </si>
  <si>
    <t>LAUREL GARDENS II</t>
  </si>
  <si>
    <t>PINE CIRCLE GARDENS</t>
  </si>
  <si>
    <t>COVINGTON PARK APARTMENTS I</t>
  </si>
  <si>
    <t>04-T-015</t>
  </si>
  <si>
    <t>MAGNOLIA MANOR</t>
  </si>
  <si>
    <t>04-T-050</t>
  </si>
  <si>
    <t>SOUTHBROOK GARDENS APARTMENTS</t>
  </si>
  <si>
    <t>SUNFLOWER APARTMENTS</t>
  </si>
  <si>
    <t>SAINT MARTIN APARTMENTS</t>
  </si>
  <si>
    <t>BURKETTS CREEK IV</t>
  </si>
  <si>
    <t>WOODYARD GARDENS</t>
  </si>
  <si>
    <t>BOLIVAR ESTATES</t>
  </si>
  <si>
    <t>AZALEA PARK APARTMENTS PHASE II</t>
  </si>
  <si>
    <t>BROOKSTONE PARK APARTMENTS II</t>
  </si>
  <si>
    <t>AZALEA PARK APARTMENTS</t>
  </si>
  <si>
    <t>NORTH RIDGE APARTMENTS</t>
  </si>
  <si>
    <t>05-T-045</t>
  </si>
  <si>
    <t>J. T. DAVIS COURTS</t>
  </si>
  <si>
    <t>HEAD CIRCLE L.P.</t>
  </si>
  <si>
    <t>CAROUSEL PLACE</t>
  </si>
  <si>
    <t>WAVERLY PARK APARTMENTS</t>
  </si>
  <si>
    <t>CHAPEL ESTATES</t>
  </si>
  <si>
    <t>AZALEA PARK APARTMENTS PHASE III</t>
  </si>
  <si>
    <t>OAKWOOD PARK ESTATES</t>
  </si>
  <si>
    <t>LAUREL GARDENS I</t>
  </si>
  <si>
    <t>HOLLIMAN PLACE</t>
  </si>
  <si>
    <t>HOLLIMAN PLACE II</t>
  </si>
  <si>
    <t>HOLLIMAN PLACE III</t>
  </si>
  <si>
    <t>REUNION COURT APARTMENTS</t>
  </si>
  <si>
    <t>UNITED FAMILY LIFE VILLAGE</t>
  </si>
  <si>
    <t>BEVERLY HILLS HOMES</t>
  </si>
  <si>
    <t>MARABELLA ESTATES PHASE II</t>
  </si>
  <si>
    <t>WAVEVIEW PLACE</t>
  </si>
  <si>
    <t>BURKETTS CREEK I</t>
  </si>
  <si>
    <t>FOREST HILL PLACE</t>
  </si>
  <si>
    <t>CEDAR GROVE (TIMBER FALLS)</t>
  </si>
  <si>
    <t>COLLINWOOD ESTATES</t>
  </si>
  <si>
    <t>KINGSTON PLACE II</t>
  </si>
  <si>
    <t>LEXINGTON PARK APTS.</t>
  </si>
  <si>
    <t>PARK AT LEMOYNE APT.</t>
  </si>
  <si>
    <t>SHAW ESTATES</t>
  </si>
  <si>
    <t>WIGGINS ESTATES</t>
  </si>
  <si>
    <t>THE COLONNADES</t>
  </si>
  <si>
    <t>ANGELA APARTMENTS</t>
  </si>
  <si>
    <t>SUNDOWN GARDENS</t>
  </si>
  <si>
    <t>CEDARWOOD VILLAGE</t>
  </si>
  <si>
    <t>07-006CF</t>
  </si>
  <si>
    <t>THREE RIVERS LANDING</t>
  </si>
  <si>
    <t>THE RIDGE AT WAVELAND</t>
  </si>
  <si>
    <t>THE VILLAGE APARTMENTS</t>
  </si>
  <si>
    <t>OAK HAVEN APARTMENTS</t>
  </si>
  <si>
    <t>BAY PINES</t>
  </si>
  <si>
    <t>MORRISON VILLAGE APARTMENTS</t>
  </si>
  <si>
    <t>TIMBER GROVE APARTMENTS</t>
  </si>
  <si>
    <t>TAYLOR HEIGHTS APARTMENTS</t>
  </si>
  <si>
    <t>MAGNOLIA PARK APARTMENTS</t>
  </si>
  <si>
    <t>BRIDGEWATER PARK APARTMENTS</t>
  </si>
  <si>
    <t>RIVERCHASE PARK APARTMENTS</t>
  </si>
  <si>
    <t>BAYOU VILLAGE APARTMENTS</t>
  </si>
  <si>
    <t>GRANDE OAKS APARTMENTS</t>
  </si>
  <si>
    <t>RIDGEWAY APARTMENTS</t>
  </si>
  <si>
    <t>OCEAN ESTATES II</t>
  </si>
  <si>
    <t>GLENDALE APARTMENTS</t>
  </si>
  <si>
    <t>CYPRESS MEADOW APARTMENTS</t>
  </si>
  <si>
    <t>COMMONWEALTH VILLAGE APARTMENTS</t>
  </si>
  <si>
    <t>VILLAGE PLACE APARTMENTS</t>
  </si>
  <si>
    <t>REGENCY WAY APARTMENTS</t>
  </si>
  <si>
    <t>THE ESTATES AT JUAN DE CUEVAS</t>
  </si>
  <si>
    <t>BAYWOOD PLACE APARTMENTS</t>
  </si>
  <si>
    <t>HIGHLAND SPRINGS APARTMENTS</t>
  </si>
  <si>
    <t>THE GROVE APARTMENTS</t>
  </si>
  <si>
    <t>COLUMBUS HEIGHTS SUBDIVISION</t>
  </si>
  <si>
    <t>THE GATES AT CORALBAY</t>
  </si>
  <si>
    <t>BELLEMONT GARDENS</t>
  </si>
  <si>
    <t>THE GATES OF BILOXI</t>
  </si>
  <si>
    <t>MAGNOLIA TRACE APARTMENTS</t>
  </si>
  <si>
    <t>TIMBER CREEK ESTATES</t>
  </si>
  <si>
    <t>TIMBER CREEK ESTATES, PHASE II</t>
  </si>
  <si>
    <t>SHEFFIELD PARK APARTMENTS</t>
  </si>
  <si>
    <t>CROWN HILL II</t>
  </si>
  <si>
    <t>THORTON HILL</t>
  </si>
  <si>
    <t>CROWN HILL I</t>
  </si>
  <si>
    <t>FRANKLIN POINT APARTMENTS</t>
  </si>
  <si>
    <t>THE BRADLEY APARTMENTS</t>
  </si>
  <si>
    <t>PINNACLE AT MAGNOLIA POINTE</t>
  </si>
  <si>
    <t>PASS ESTATES</t>
  </si>
  <si>
    <t>CRYSTAL ESTATES</t>
  </si>
  <si>
    <t>JACOB'S CROSSINGS</t>
  </si>
  <si>
    <t>HALLMARK GARDENS APARTMENTS</t>
  </si>
  <si>
    <t>JEFFERSONIAN APARTMENTS</t>
  </si>
  <si>
    <t>PINECREST MANOR</t>
  </si>
  <si>
    <t>CAFFEY APARTMENTS</t>
  </si>
  <si>
    <t>SWINNEY APARTMENTS</t>
  </si>
  <si>
    <t>BAYSIDE VILLAGE</t>
  </si>
  <si>
    <t>07-T-042</t>
  </si>
  <si>
    <t>MADONNA MANOR APARTMENTS</t>
  </si>
  <si>
    <t>07-T-043</t>
  </si>
  <si>
    <t>PROVIDENCE PLACE OF SENATOBIA</t>
  </si>
  <si>
    <t>07-T-045</t>
  </si>
  <si>
    <t>KIRKWOOD APTS/THE GLEN @ KIRKWOOD</t>
  </si>
  <si>
    <t>07-T-046</t>
  </si>
  <si>
    <t>PROVIDENCE PCC OF SENATOBIA</t>
  </si>
  <si>
    <t>07-T-047</t>
  </si>
  <si>
    <t>WILLIAM BELL APARTMENTS</t>
  </si>
  <si>
    <t>07-T-048</t>
  </si>
  <si>
    <t>EMERALD PINES APARTMENTS</t>
  </si>
  <si>
    <t>THE ROSE OF JACKSON</t>
  </si>
  <si>
    <t>THE ROSE OF JACKSON PHASE II</t>
  </si>
  <si>
    <t>UNITED FAMILY LIFE VILLAGE, II</t>
  </si>
  <si>
    <t>PROVIDENCE TWO</t>
  </si>
  <si>
    <t>TURNTABLE PLACE</t>
  </si>
  <si>
    <t>LOWNDES PROPERTIES</t>
  </si>
  <si>
    <t>BLUE MEADOWS APARTMENTS</t>
  </si>
  <si>
    <t>CROSSCREEK APARTMENTS</t>
  </si>
  <si>
    <t>LAUREL ESTATES</t>
  </si>
  <si>
    <t>DURANT ESTATES</t>
  </si>
  <si>
    <t>08-T-002</t>
  </si>
  <si>
    <t>GRACELAND OF GRENADA</t>
  </si>
  <si>
    <t>FAIRFIELD PARK ESTATES</t>
  </si>
  <si>
    <t>PARK VIEW ESTATES</t>
  </si>
  <si>
    <t>NORTH GATE APARTMENTS</t>
  </si>
  <si>
    <t>CHICKASAW VILLAGE</t>
  </si>
  <si>
    <t>ROSEDALE ESTATES APARTMENTS</t>
  </si>
  <si>
    <t>MCMATH APARTMENTS</t>
  </si>
  <si>
    <t>CEDAR GROVE ESTATES</t>
  </si>
  <si>
    <t>SOUTHWIND ESTATES</t>
  </si>
  <si>
    <t>UNITED FAMILY LIFE VILLAGE III</t>
  </si>
  <si>
    <t>LINCOLN GARDENS APARTMENTS</t>
  </si>
  <si>
    <t>PINEWOOD ESTATES</t>
  </si>
  <si>
    <t>OLD BRIDGE PLACE</t>
  </si>
  <si>
    <t>LOWNDES PROPERTIES II</t>
  </si>
  <si>
    <t>MILL CREEK PLACE</t>
  </si>
  <si>
    <t>LAUREL ESTATES II</t>
  </si>
  <si>
    <t>CADE COURTYARD SENIOR APARTMENTS</t>
  </si>
  <si>
    <t>CADE COURTYARD SENIOR APARTMENTS II</t>
  </si>
  <si>
    <t>HARGROVE ESTATES</t>
  </si>
  <si>
    <t>HOLLY HILL APARTMENTS</t>
  </si>
  <si>
    <t>PINEHURST PARK SUBDIVISION</t>
  </si>
  <si>
    <t>PINEHURST PARK TOWNHOUSES</t>
  </si>
  <si>
    <t>REED PLACE</t>
  </si>
  <si>
    <t>REED PLACE, PH II</t>
  </si>
  <si>
    <t>OVERLOOK APARTMENTS</t>
  </si>
  <si>
    <t>10-T-034</t>
  </si>
  <si>
    <t>FRANK BERRY COURTS</t>
  </si>
  <si>
    <t>DELHAVEN MANOR APARTMENTS</t>
  </si>
  <si>
    <t>MILL CREEK PLACE II</t>
  </si>
  <si>
    <t>WEST BEACON VILLAS</t>
  </si>
  <si>
    <t>WASHINGTON GARDEN APARTMENTS</t>
  </si>
  <si>
    <t>CAMDEN PARK APARTMENTS PH II</t>
  </si>
  <si>
    <t>MILLWOOD VILLAGE I</t>
  </si>
  <si>
    <t>AEOLIAN SENIOR APARTMENTS</t>
  </si>
  <si>
    <t>PRIDE GARDENS APARTMENTS</t>
  </si>
  <si>
    <t>PEPPERTREE APARTMENTS</t>
  </si>
  <si>
    <t>PHILADELPHIA APARTMENTS</t>
  </si>
  <si>
    <t>MAGNOLIA APARTMENTS</t>
  </si>
  <si>
    <t>BRANCH RUN, NORTHCREST, &amp; THE WOODLANDS</t>
  </si>
  <si>
    <t>CAMPBELL PLACE APARTMENTS</t>
  </si>
  <si>
    <t>11-T-037</t>
  </si>
  <si>
    <t>AZALEA GARDENS</t>
  </si>
  <si>
    <t>OAKWOOD APARTMENTS</t>
  </si>
  <si>
    <t>ST. FRANCIS APARTMENTS</t>
  </si>
  <si>
    <t>SKYVIEW APARTMENTS</t>
  </si>
  <si>
    <t>POINT PLACE APARTMENTS</t>
  </si>
  <si>
    <t>OAK RIDGE APARTMENTS</t>
  </si>
  <si>
    <t>MAGNOLIA CROSSING</t>
  </si>
  <si>
    <t>CAMILLE COURT</t>
  </si>
  <si>
    <t>QUAIL RUN APARTMENTS</t>
  </si>
  <si>
    <t>CYPRESS BEND OF BELZONI</t>
  </si>
  <si>
    <t>WEST-MILLSAPS APARTMENTS</t>
  </si>
  <si>
    <t>CARR CENTRAL APARTMENTS I</t>
  </si>
  <si>
    <t>CARR CENTRAL APARTMENTS II</t>
  </si>
  <si>
    <t>MEADOWHILL ESTATES</t>
  </si>
  <si>
    <t>MAYFAIR II</t>
  </si>
  <si>
    <t>MEADOW LAWN II</t>
  </si>
  <si>
    <t>WINDALE APARTMENTS II</t>
  </si>
  <si>
    <t>CHURCH COURT EAST</t>
  </si>
  <si>
    <t>CHURCH COURT WEST</t>
  </si>
  <si>
    <t>MURPHY LANE</t>
  </si>
  <si>
    <t>SANDERSON VILLAGE HOMES</t>
  </si>
  <si>
    <t>VISION PLACE</t>
  </si>
  <si>
    <t>EAST VILLAGE ESTATES</t>
  </si>
  <si>
    <t>OSCAR BARLOW ESTATES</t>
  </si>
  <si>
    <t>MILL CREEK PLACE III</t>
  </si>
  <si>
    <t>LEVEE APARTMENTS</t>
  </si>
  <si>
    <t>LOWNDES PROPERTIES III</t>
  </si>
  <si>
    <t>HELMS PLACE I</t>
  </si>
  <si>
    <t>HELMS PLACE II</t>
  </si>
  <si>
    <t>THE MEADOWS APARTMENTS</t>
  </si>
  <si>
    <t>LUTKIN BAYOU APARTMENTS</t>
  </si>
  <si>
    <t>PINE GROVE APARTMENTS</t>
  </si>
  <si>
    <t>OLIVEWOOD APARTMENTS</t>
  </si>
  <si>
    <t>OAKWOOD APTS AND MAPLEWOOD APTS.</t>
  </si>
  <si>
    <t>FAIRVIEW MANOR</t>
  </si>
  <si>
    <t>12-T-001</t>
  </si>
  <si>
    <t>MCINTOSH HOMES</t>
  </si>
  <si>
    <t>1216M04SG280956</t>
  </si>
  <si>
    <t>MOUNT OLIVE MANOR</t>
  </si>
  <si>
    <t>CAMBRIDGE MANOR APARTMENTS</t>
  </si>
  <si>
    <t>FRANCIS STREET APARTMENTS</t>
  </si>
  <si>
    <t>HERITAGE TRAILS APARTMENTS</t>
  </si>
  <si>
    <t>VILLAGE AT THE BEVERLY</t>
  </si>
  <si>
    <t>LEVEE APARTMENTS II</t>
  </si>
  <si>
    <t>GREEN HILL APARTMENTS</t>
  </si>
  <si>
    <t>GREEN HILL APARTMENTS II</t>
  </si>
  <si>
    <t>MEADOWVIEW APARTMENTS</t>
  </si>
  <si>
    <t>DOWNING COURT</t>
  </si>
  <si>
    <t>OXFORD COURT</t>
  </si>
  <si>
    <t>TAYLOR COURT</t>
  </si>
  <si>
    <t>NORTHWOOD VILLAGE APARTMENTS</t>
  </si>
  <si>
    <t>KEYSTONE ESTATES</t>
  </si>
  <si>
    <t>KEYSTONE ESTATES II</t>
  </si>
  <si>
    <t>BERWOOD APARTMENTS</t>
  </si>
  <si>
    <t>REGAL RIDGE APARTMENTS</t>
  </si>
  <si>
    <t>WISTERIA APARTMENTS</t>
  </si>
  <si>
    <t>HAWTHORNE APARTMENTS II</t>
  </si>
  <si>
    <t>MARION ROAD APARTMENTS II</t>
  </si>
  <si>
    <t>CAPITOL ART LOFTS</t>
  </si>
  <si>
    <t>PICKENS LANE APARTMENTS</t>
  </si>
  <si>
    <t>HUDSON PLACE</t>
  </si>
  <si>
    <t>14-T-001</t>
  </si>
  <si>
    <t>SHADY LANE APARTMENTS</t>
  </si>
  <si>
    <t>14-T-002</t>
  </si>
  <si>
    <t>MARTIN LUTHER KING APARTMENTS</t>
  </si>
  <si>
    <t>14-T-003</t>
  </si>
  <si>
    <t>LOWER WOODVILLE APARTMENTS</t>
  </si>
  <si>
    <t>14-T-004</t>
  </si>
  <si>
    <t>SUSIE B WEST APARTMENTS</t>
  </si>
  <si>
    <t>14-T-005</t>
  </si>
  <si>
    <t>GREENBRIAR APARTMENTS</t>
  </si>
  <si>
    <t>TALL OAKS EAST</t>
  </si>
  <si>
    <t>TALL OAKS WEST</t>
  </si>
  <si>
    <t>FARMINGTON ARMS APARTMENTS</t>
  </si>
  <si>
    <t>CEDAR BEND APARTMENTS</t>
  </si>
  <si>
    <t>PINE HAVEN ESTATES</t>
  </si>
  <si>
    <t>FOUNTAIN SQUARE</t>
  </si>
  <si>
    <t>BARLEY COURT PHASE I</t>
  </si>
  <si>
    <t>BARLEY COURT PHASE II</t>
  </si>
  <si>
    <t>VERONA ESTATES</t>
  </si>
  <si>
    <t>CANTON HIGH APARTMENTS I</t>
  </si>
  <si>
    <t>CANTON HIGH APARTMENTS II, LP</t>
  </si>
  <si>
    <t>15-T-001</t>
  </si>
  <si>
    <t>COTTONLAND VILLAGE APARTMENTS</t>
  </si>
  <si>
    <t>15-T-002</t>
  </si>
  <si>
    <t>ESCATAWPA VILLAGE APARTMENTS</t>
  </si>
  <si>
    <t>15-T-003</t>
  </si>
  <si>
    <t>BLUE SPRUCE APARTMENTS</t>
  </si>
  <si>
    <t>WOODLAND BEND APARTMENTS</t>
  </si>
  <si>
    <t>WHITE OAK APARTMENTS</t>
  </si>
  <si>
    <t>WOODCREEK HOMES</t>
  </si>
  <si>
    <t>TIMBERLANE TOWNHOMES</t>
  </si>
  <si>
    <t>WOODLAWN TOWNHOUSE</t>
  </si>
  <si>
    <t>BRANDON HILLS II</t>
  </si>
  <si>
    <t>LONE OAK II</t>
  </si>
  <si>
    <t>PALISADES PARK</t>
  </si>
  <si>
    <t>PALISADES PARK II</t>
  </si>
  <si>
    <t>BEACON HILL EAST</t>
  </si>
  <si>
    <t>BEACON HILL WEST</t>
  </si>
  <si>
    <t>THE PHOENIX AT CORINTH</t>
  </si>
  <si>
    <t>PELAHATCHIE APARTMENTS</t>
  </si>
  <si>
    <t>HAVEN APARTMENTS</t>
  </si>
  <si>
    <t>16-T-001</t>
  </si>
  <si>
    <t>EASTGATE REDEVELOPMENT</t>
  </si>
  <si>
    <t>AMBER HEIGHTS APARTMENTS</t>
  </si>
  <si>
    <t>ELM GROVE APARTMENTS</t>
  </si>
  <si>
    <t>HILLTOP APARTMENTS</t>
  </si>
  <si>
    <t>PRESTIGE PLAZA APARTMENTS</t>
  </si>
  <si>
    <t>WHITE OAK BYHALIA APARTMENTS</t>
  </si>
  <si>
    <t>PINE VIEW I</t>
  </si>
  <si>
    <t>PINE VIEW II</t>
  </si>
  <si>
    <t>Preservation Crossing</t>
  </si>
  <si>
    <t>PINE RIDGE APARTMENTS</t>
  </si>
  <si>
    <t>PINEVIEW II APARTMENTS</t>
  </si>
  <si>
    <t>EASTOVER</t>
  </si>
  <si>
    <t>BELLE RIVERS</t>
  </si>
  <si>
    <t>TRIANGLE HOMES</t>
  </si>
  <si>
    <t>TRIANGLE HOMES PHASE II</t>
  </si>
  <si>
    <t>17-T-001</t>
  </si>
  <si>
    <t>VICKSBURG HOUSING AUTHORITY RAD</t>
  </si>
  <si>
    <t>17-T-002</t>
  </si>
  <si>
    <t>NORTH PARK ESTATES</t>
  </si>
  <si>
    <t>17-T-003</t>
  </si>
  <si>
    <t>CAMELLIA APARTMENTS</t>
  </si>
  <si>
    <t>17-T-004</t>
  </si>
  <si>
    <t>WILLOW PARK APARTMENTS</t>
  </si>
  <si>
    <t>17-T-006</t>
  </si>
  <si>
    <t>CHARLEY PATTON ESTATES</t>
  </si>
  <si>
    <t>17-T-006A</t>
  </si>
  <si>
    <t>RIDGEWOOD ESTATES</t>
  </si>
  <si>
    <t>17-T-006B</t>
  </si>
  <si>
    <t>SUGARHILL ESTATES</t>
  </si>
  <si>
    <t>17-T-006C</t>
  </si>
  <si>
    <t>HERMANVILLE ESTATES</t>
  </si>
  <si>
    <t>17-T-006D</t>
  </si>
  <si>
    <t>JESSIE BANKS HOMES</t>
  </si>
  <si>
    <t>17-T-006E</t>
  </si>
  <si>
    <t>HICKMAN HEIGHTS</t>
  </si>
  <si>
    <t>17-T-006F</t>
  </si>
  <si>
    <t>PEYTON GARDENS</t>
  </si>
  <si>
    <t>17-T-006G</t>
  </si>
  <si>
    <t>SAM ESTESS ESTATES</t>
  </si>
  <si>
    <t>17-T-007</t>
  </si>
  <si>
    <t>DEVILLE MANOR APARTMENTS</t>
  </si>
  <si>
    <t>17-T-008</t>
  </si>
  <si>
    <t>JACKSON MANOR APARTMENTS</t>
  </si>
  <si>
    <t>17-T-010</t>
  </si>
  <si>
    <t>Golden Key Apartments</t>
  </si>
  <si>
    <t>17-T-012</t>
  </si>
  <si>
    <t>FOREST GLEN (BONHOMIE APARTMENTS)</t>
  </si>
  <si>
    <t>17-T-013</t>
  </si>
  <si>
    <t>Gateway Affordable Communities</t>
  </si>
  <si>
    <t>HANCOCK ESTATES</t>
  </si>
  <si>
    <t>WOODRUFF MANOR</t>
  </si>
  <si>
    <t>CREEKWOOD LANE APARTMENTS</t>
  </si>
  <si>
    <t>BRANDON ARMS APARTMENTS</t>
  </si>
  <si>
    <t>GOLDEN AGE APARTMENTS</t>
  </si>
  <si>
    <t>BEACON HOMES</t>
  </si>
  <si>
    <t>BEACON HOMES PHASE II</t>
  </si>
  <si>
    <t>THE PARK AT BROOKS</t>
  </si>
  <si>
    <t>TRIANGLE HOMES, PHASE III</t>
  </si>
  <si>
    <t>REGENCY PLACE APARTMENTS</t>
  </si>
  <si>
    <t>PARKWOOD APARTMENTS</t>
  </si>
  <si>
    <t>CHERRY CREEK</t>
  </si>
  <si>
    <t>KING PINES</t>
  </si>
  <si>
    <t>SOUTHPOINTE APARTMENTS</t>
  </si>
  <si>
    <t>18-T-004</t>
  </si>
  <si>
    <t>The Park of Autumn Woods</t>
  </si>
  <si>
    <t>CLARK GROVE</t>
  </si>
  <si>
    <t>Owens Place IX</t>
  </si>
  <si>
    <t>VILLAGE AT THE BEVERLY II</t>
  </si>
  <si>
    <t>HAPPY DAYS APARTMENTS</t>
  </si>
  <si>
    <t>East Lawn Apartments</t>
  </si>
  <si>
    <t>Longview Terrace Apartments</t>
  </si>
  <si>
    <t>Parker Apartments</t>
  </si>
  <si>
    <t>Grove Apartments</t>
  </si>
  <si>
    <t>CEDARHURST APARTMENTS</t>
  </si>
  <si>
    <t>INDIANA MANOR APARTMENTS</t>
  </si>
  <si>
    <t>Azalea Cove Phase I</t>
  </si>
  <si>
    <t>Azalea Cove Phase II</t>
  </si>
  <si>
    <t>HARTWOOD APARTMENTS I</t>
  </si>
  <si>
    <t>TELFAIR APARTMENTS II</t>
  </si>
  <si>
    <t>HARTWOOD APARTMENTS II</t>
  </si>
  <si>
    <t>SANDERS PLACE</t>
  </si>
  <si>
    <t>MILL CREEK</t>
  </si>
  <si>
    <t>Pine Haven Estates II</t>
  </si>
  <si>
    <t>Ashton Gardens</t>
  </si>
  <si>
    <t>19-T-001</t>
  </si>
  <si>
    <t>BAYOU ESTATES</t>
  </si>
  <si>
    <t>19-T-002</t>
  </si>
  <si>
    <t>COUNTRYSIDE APARTMENTS</t>
  </si>
  <si>
    <t>19-T-003</t>
  </si>
  <si>
    <t>SOUTH PARK ESTATES</t>
  </si>
  <si>
    <t>19-T-004</t>
  </si>
  <si>
    <t>PONTOTOC SENIOR APARTMENTS</t>
  </si>
  <si>
    <t>19-T-005</t>
  </si>
  <si>
    <t>JONESTOWN MANOR</t>
  </si>
  <si>
    <t>19-T-006</t>
  </si>
  <si>
    <t>RULEVILLE VILLAS</t>
  </si>
  <si>
    <t>19-T-007</t>
  </si>
  <si>
    <t>SUNFLOWER RIVER APARTMENTS</t>
  </si>
  <si>
    <t>19-T-008</t>
  </si>
  <si>
    <t>YATES STREET APARTMENTS</t>
  </si>
  <si>
    <t>19-T-009</t>
  </si>
  <si>
    <t>YAZOO CITY SENIOR APARTMENTS</t>
  </si>
  <si>
    <t>19-T-010</t>
  </si>
  <si>
    <t>CRENSHAW MANOR</t>
  </si>
  <si>
    <t>19-T-011</t>
  </si>
  <si>
    <t>19-T-012</t>
  </si>
  <si>
    <t>BLUE LAKE ESTATES</t>
  </si>
  <si>
    <t>19-T-013</t>
  </si>
  <si>
    <t>BELMONT ROAD ESTATES</t>
  </si>
  <si>
    <t>19-T-014</t>
  </si>
  <si>
    <t>LAMBERT SQUARE</t>
  </si>
  <si>
    <t>19-T-015</t>
  </si>
  <si>
    <t>COLDWATER RIVER ROAD APARTMENTS</t>
  </si>
  <si>
    <t>19-T-016</t>
  </si>
  <si>
    <t>HORN LAKE VILLAS</t>
  </si>
  <si>
    <t>19-T-017</t>
  </si>
  <si>
    <t>Pine Lane Apartments</t>
  </si>
  <si>
    <t>19-T-018</t>
  </si>
  <si>
    <t>Porter Arms Apartments</t>
  </si>
  <si>
    <t>19-T-019</t>
  </si>
  <si>
    <t>Community Circle Apartments</t>
  </si>
  <si>
    <t>19-T-020</t>
  </si>
  <si>
    <t>The Preserve</t>
  </si>
  <si>
    <t>19-T-022</t>
  </si>
  <si>
    <t>FOREST PARK APARTMENTS II</t>
  </si>
  <si>
    <t>19-T-024</t>
  </si>
  <si>
    <t>SOUTH CENTRAL VILLAGE OF THE ELDERLY</t>
  </si>
  <si>
    <t>Forrest Ridge</t>
  </si>
  <si>
    <t>Briarwood</t>
  </si>
  <si>
    <t>Cedarbend Place</t>
  </si>
  <si>
    <t>Crossroads Estates</t>
  </si>
  <si>
    <t>Summit Gardens Apartments II</t>
  </si>
  <si>
    <t>HUDSON PLACE II</t>
  </si>
  <si>
    <t>VALLEY PARK PHASE 2</t>
  </si>
  <si>
    <t>The Pearl Senior Living Community</t>
  </si>
  <si>
    <t>BRITTANY ARMS</t>
  </si>
  <si>
    <t>CEDAR BEND APARTMENTS II</t>
  </si>
  <si>
    <t>Cotton Street Place</t>
  </si>
  <si>
    <t>The Meadows</t>
  </si>
  <si>
    <t>The Heights at Clinton</t>
  </si>
  <si>
    <t>Haven Apartments</t>
  </si>
  <si>
    <t>20-T-002</t>
  </si>
  <si>
    <t>SUNSET VILLAGE</t>
  </si>
  <si>
    <t>20-T-003</t>
  </si>
  <si>
    <t>SUNSET PLAZA</t>
  </si>
  <si>
    <t>20-T-004</t>
  </si>
  <si>
    <t>MOORE MANOR APARTMENTS</t>
  </si>
  <si>
    <t>20-T-006</t>
  </si>
  <si>
    <t>SOUTHWEST VILLAGE APARTMENTS</t>
  </si>
  <si>
    <t>Mill Town Place</t>
  </si>
  <si>
    <t>SOUTH PARK GARDENS</t>
  </si>
  <si>
    <t>Flowerdale Commons</t>
  </si>
  <si>
    <t>Tulip Creek</t>
  </si>
  <si>
    <t>Midtown Housing Development</t>
  </si>
  <si>
    <t>Leonard Court Restoration</t>
  </si>
  <si>
    <t>EASTBROOKE APARTMENTS</t>
  </si>
  <si>
    <t>TIMBERLAWN APARTMENTS</t>
  </si>
  <si>
    <t>PINEVIEW ESTATES</t>
  </si>
  <si>
    <t>STONEGATE</t>
  </si>
  <si>
    <t>Riverbend</t>
  </si>
  <si>
    <t>21-T-003b</t>
  </si>
  <si>
    <t>Southgate Redevelopment</t>
  </si>
  <si>
    <t>Broadmoor Housing, LP</t>
  </si>
  <si>
    <t>ACADEMY STREET APARTMENTS</t>
  </si>
  <si>
    <t>SCOTT APARTMENTS</t>
  </si>
  <si>
    <t>CHOCTAW PLAZA APARTMENTS</t>
  </si>
  <si>
    <t>FOREST PLAZA APARTMENTS</t>
  </si>
  <si>
    <t>HAZLEHURST VILLA</t>
  </si>
  <si>
    <t>MARION MANOR APARTMENTS</t>
  </si>
  <si>
    <t>ROYAL OAKS APARTMENTS</t>
  </si>
  <si>
    <t>RAINBOW APARTMENTS</t>
  </si>
  <si>
    <t>CAMELOT APARTMENTS</t>
  </si>
  <si>
    <t>BRITTANY MANOR APARTMENTS</t>
  </si>
  <si>
    <t>GREENTREE APARTMENTS</t>
  </si>
  <si>
    <t>THE ELMS APARTMENTS</t>
  </si>
  <si>
    <t>TIMBER RIDGE APARTMENTS</t>
  </si>
  <si>
    <t>BRADFORD MANOR APARTMENTS</t>
  </si>
  <si>
    <t>COUNTRYSIDE MANOR</t>
  </si>
  <si>
    <t>SHORT CURRY STREET</t>
  </si>
  <si>
    <t>MARIE LYLES MEADOWS</t>
  </si>
  <si>
    <t>THOUSAND OAKS</t>
  </si>
  <si>
    <t>WESTBROOK SQUARE APARTMENTS</t>
  </si>
  <si>
    <t>FAYETTE ELDERLY APARTMENTS</t>
  </si>
  <si>
    <t>BROOKSVILLE MANOR</t>
  </si>
  <si>
    <t>BIRCH APARTMENTS</t>
  </si>
  <si>
    <t>HICKS PROPERTIES</t>
  </si>
  <si>
    <t>THE BROOKS APARTMENTS</t>
  </si>
  <si>
    <t>WEIR APARTMENTS</t>
  </si>
  <si>
    <t>MAGNOLIA HEIGHTS APARTMENTS</t>
  </si>
  <si>
    <t>WEST CALHOUN CITY APTS</t>
  </si>
  <si>
    <t>AUBURN APARTMENTS</t>
  </si>
  <si>
    <t>NORTH CALHOUN CITY APARTMENTS</t>
  </si>
  <si>
    <t>LOCKWOOD APARTMENTS</t>
  </si>
  <si>
    <t>PECAN GROVE APARTMENTS</t>
  </si>
  <si>
    <t>PINE VALLEY APARTMENTS</t>
  </si>
  <si>
    <t>CRESTVIEW APARTMENTS</t>
  </si>
  <si>
    <t>DEACON HILL PARK APARTMENTS</t>
  </si>
  <si>
    <t>FANNIE SMITH ESTATES</t>
  </si>
  <si>
    <t>BAY SPRINGS MANOR</t>
  </si>
  <si>
    <t>WOODCREST MANOR</t>
  </si>
  <si>
    <t>ECRU ESTATES</t>
  </si>
  <si>
    <t>RIPLEY TOWNHOUSES</t>
  </si>
  <si>
    <t>EUPORA APARTMENTS</t>
  </si>
  <si>
    <t>CEDAR CREEK APARTMENTS</t>
  </si>
  <si>
    <t>WESTSIDE APARTMENTS</t>
  </si>
  <si>
    <t>MAYERSVILLE APARTMENTS</t>
  </si>
  <si>
    <t>ELMWOOD MANOR APARTMENTS</t>
  </si>
  <si>
    <t>EDMONDSON MANOR</t>
  </si>
  <si>
    <t>LAKESIDE MANOR</t>
  </si>
  <si>
    <t>SMITHVILLE ELDERLY\PARKVIEW</t>
  </si>
  <si>
    <t>GEORGETOWN APARTMENTS</t>
  </si>
  <si>
    <t>THE RIDGE APARTMENTS</t>
  </si>
  <si>
    <t>RAINER VILLA</t>
  </si>
  <si>
    <t>LIBERTY PLACE APARTMENTS</t>
  </si>
  <si>
    <t>VARDAMAN MANOR, L.P.</t>
  </si>
  <si>
    <t>HAZLEHURST MANOR, L.P.</t>
  </si>
  <si>
    <t>PINETREE MANOR</t>
  </si>
  <si>
    <t>LAMBERT SQUARE APARTMENTS</t>
  </si>
  <si>
    <t>VILLAGE MANOR APARTMENTS</t>
  </si>
  <si>
    <t>MANTACHIE SUNSET APTS</t>
  </si>
  <si>
    <t>NOXUBEE APARTMENTS</t>
  </si>
  <si>
    <t>O'NEAL ROAD APARTMENTS</t>
  </si>
  <si>
    <t>DAUGHERTY ROAD APARTMENTS</t>
  </si>
  <si>
    <t>COTTON GIN PARK</t>
  </si>
  <si>
    <t>BEAUMONT ELDERLY HOUSING,LP</t>
  </si>
  <si>
    <t>NORTHSIDE MANOR</t>
  </si>
  <si>
    <t>DELTA MANOR</t>
  </si>
  <si>
    <t>GREEN OAKS APARTMENTS</t>
  </si>
  <si>
    <t>ETHEL AND SKYFARM</t>
  </si>
  <si>
    <t>ROSEDOWN APARTMENTS</t>
  </si>
  <si>
    <t>EASTGATE APARTMENTS</t>
  </si>
  <si>
    <t>CEDARSTONE APARTMENTS</t>
  </si>
  <si>
    <t>GREENWOOD PLACE</t>
  </si>
  <si>
    <t>ISOLA SQUARE</t>
  </si>
  <si>
    <t>CLINTON HEIGHTS</t>
  </si>
  <si>
    <t>PONTOTOC PARK APTS</t>
  </si>
  <si>
    <t>SUN MANOR APARTMENTS</t>
  </si>
  <si>
    <t>BROWNING ROAD PHASE II</t>
  </si>
  <si>
    <t>ISSAQUENA APARTMENTS - TWIN OAKS</t>
  </si>
  <si>
    <t>POPLAR MANOR</t>
  </si>
  <si>
    <t>HERMANVILLE APARTMENTS</t>
  </si>
  <si>
    <t>OAKHAVEN APARTMENTS</t>
  </si>
  <si>
    <t>LANDVIEW MANOR</t>
  </si>
  <si>
    <t>LAKEVIEW MANOR APARTMENTS</t>
  </si>
  <si>
    <t>MAGNOLIA STATE II APARTMENTS</t>
  </si>
  <si>
    <t>BOONEVILLE VILLA, LP</t>
  </si>
  <si>
    <t>ISSAC DANIEL APARTMENTS</t>
  </si>
  <si>
    <t>THE HENRY CLAY</t>
  </si>
  <si>
    <t>RICHLAND APARTMENTS</t>
  </si>
  <si>
    <t>PICAYUNE APARTMENTS II, L.P.</t>
  </si>
  <si>
    <t>GARDEN APARTMENTS</t>
  </si>
  <si>
    <t>SILVERHILL APARTMENTS</t>
  </si>
  <si>
    <t>TERRY APARTMENTS</t>
  </si>
  <si>
    <t>RIPLEY APARTMENTS</t>
  </si>
  <si>
    <t>SHUQUALAK APARTMENTS</t>
  </si>
  <si>
    <t>CALHOUN MANOR</t>
  </si>
  <si>
    <t>NORTHVIEW APARTMENTS/BELMONT CAPITAL</t>
  </si>
  <si>
    <t>WOODCHASE APARTMENTS</t>
  </si>
  <si>
    <t>TUPELO SENIORS</t>
  </si>
  <si>
    <t>ALLIGATOR PLACE APARTMENTS LP</t>
  </si>
  <si>
    <t>MAGNOLIA MANOR I</t>
  </si>
  <si>
    <t>PACE APARTMENT HOMES</t>
  </si>
  <si>
    <t>BEULAH APARTMENT HOMES</t>
  </si>
  <si>
    <t>ROSEDALE APARTMENT HOMES</t>
  </si>
  <si>
    <t>MOUND BAYOU APARTMENT HOMES</t>
  </si>
  <si>
    <t>JONESTOWN APARTMENTS</t>
  </si>
  <si>
    <t>OAK TOWERS</t>
  </si>
  <si>
    <t>SUNSET VILLAS</t>
  </si>
  <si>
    <t>CEDAR HEIGHTS APARTMENTS</t>
  </si>
  <si>
    <t>BROOKHAVEN APARTMENTS</t>
  </si>
  <si>
    <t>SILVER CITY MANOR</t>
  </si>
  <si>
    <t>UNION APARTMENTS</t>
  </si>
  <si>
    <t>MAGEE ASSOCIATES</t>
  </si>
  <si>
    <t>SUMMIT APARTMENTS II, L.P.</t>
  </si>
  <si>
    <t>HICKORY FLAT ASSOCIATES II, LP</t>
  </si>
  <si>
    <t>ELLISVILLE APARTMENTS</t>
  </si>
  <si>
    <t>OAK DALE APTS</t>
  </si>
  <si>
    <t>SUNFLOWER LANE APARTMENTS</t>
  </si>
  <si>
    <t>WOOD VILLAGE APARTMENTS</t>
  </si>
  <si>
    <t>BEECHLANE APARTMENTS</t>
  </si>
  <si>
    <t>DEHON VILLAGE III</t>
  </si>
  <si>
    <t>ROBINSONVILLE APARTMENT HOME/BOWDRE</t>
  </si>
  <si>
    <t>DUNCAN APARTMENT HOMES</t>
  </si>
  <si>
    <t>JACK G. FLAUTT ESTATES - GLENDORA I</t>
  </si>
  <si>
    <t>JACK G. FLAUTT ESTATES - GLENDORA II</t>
  </si>
  <si>
    <t>CHARLESTON APARTMENTS</t>
  </si>
  <si>
    <t>LAKEVIEW TERRACE</t>
  </si>
  <si>
    <t>ANGUILLA FAMILY</t>
  </si>
  <si>
    <t>BOSTON COURT APARTMENTS</t>
  </si>
  <si>
    <t>PINE ACRE RANCH APARTMENT HOMES</t>
  </si>
  <si>
    <t>CAULEY ESTATES</t>
  </si>
  <si>
    <t>ERNESTINE MCNEACE APARTMENTS</t>
  </si>
  <si>
    <t>MAUREEN ANNA SNOWDEN JONES</t>
  </si>
  <si>
    <t>BRANDON PLACE APARTMENTS</t>
  </si>
  <si>
    <t>DRIFTWOOD APARTMENTS</t>
  </si>
  <si>
    <t>DUNLAP ACRES</t>
  </si>
  <si>
    <t>CEDAR RIDGE APARTMENTS</t>
  </si>
  <si>
    <t>WILLOW WOOD APARTMENTS</t>
  </si>
  <si>
    <t>BAY SPRINGS APTS. II, LTD.</t>
  </si>
  <si>
    <t>MENDENHALL APARTMENTS</t>
  </si>
  <si>
    <t>OAKLAND APARTMENT HOMES</t>
  </si>
  <si>
    <t>HIGHLAND VIEW APARTMENTS</t>
  </si>
  <si>
    <t>HILLDALE APARTMENTS</t>
  </si>
  <si>
    <t>PINE RIDGE GARDENS</t>
  </si>
  <si>
    <t>LYMAN VILLAGE APARTMENTS</t>
  </si>
  <si>
    <t>BUDE MANOR APARTMENTS</t>
  </si>
  <si>
    <t>LAMBERT COMMUNITY HOUSING</t>
  </si>
  <si>
    <t>BANNERMAN MANOR</t>
  </si>
  <si>
    <t>PEARLWOOD APARTMENTS</t>
  </si>
  <si>
    <t>MAGNOLIA PLACE APARTMENTS</t>
  </si>
  <si>
    <t>WOODBERRY RIDGE APARTMENTS</t>
  </si>
  <si>
    <t>REGENCY APARTMENTS</t>
  </si>
  <si>
    <t>LAKE HICKORY APARTMENTS</t>
  </si>
  <si>
    <t>NEWTON APARTMENTS</t>
  </si>
  <si>
    <t>COLONIAL APARTMENTS</t>
  </si>
  <si>
    <t>CROWDER MANOR APARTMENTS</t>
  </si>
  <si>
    <t>PARK WIND APARTMENTS</t>
  </si>
  <si>
    <t>CENTRAL HILLS</t>
  </si>
  <si>
    <t>ARBOR PARK I</t>
  </si>
  <si>
    <t>W. J. JONES VILLA</t>
  </si>
  <si>
    <t>TWIN OAKS ELDERLY HANDICAP</t>
  </si>
  <si>
    <t>COACHLIGHT MANOR</t>
  </si>
  <si>
    <t>MEADOW RIDGE SENIOR APT</t>
  </si>
  <si>
    <t>CRAWFORD ELDERLY APARTMENTS</t>
  </si>
  <si>
    <t>HANNAH HEIGHTS</t>
  </si>
  <si>
    <t>ELMWOOD APARTMENTS</t>
  </si>
  <si>
    <t>SPRINGS MANOR APARTMENTS</t>
  </si>
  <si>
    <t>CANTON VILLAGE APARTMENTS</t>
  </si>
  <si>
    <t>ROLLING FORK MANOR</t>
  </si>
  <si>
    <t>ROSE GARDEN APARTMENTS</t>
  </si>
  <si>
    <t>RALEIGH ANNEX APARTMENTS</t>
  </si>
  <si>
    <t>LULA B COVINGTON</t>
  </si>
  <si>
    <t>LAUDERDALE APARTMENTS</t>
  </si>
  <si>
    <t>PLANTATION ESTATES</t>
  </si>
  <si>
    <t>ESTES STREET APARTMENTS</t>
  </si>
  <si>
    <t>CLINT HANDY ESTATES</t>
  </si>
  <si>
    <t>OAK HILL ESTATES, L.P</t>
  </si>
  <si>
    <t>ACADEMY HEIGHTS</t>
  </si>
  <si>
    <t>PINEVIEW HEIGHTS</t>
  </si>
  <si>
    <t>PINE HAVEN HEIGHTS 98</t>
  </si>
  <si>
    <t>STEWART MANOR</t>
  </si>
  <si>
    <t>COLUMBUS GARDENS</t>
  </si>
  <si>
    <t>GATEWAY AFFORDABLE COMMUNITIES, LP</t>
  </si>
  <si>
    <t>RIVERWALK APARTMENTS</t>
  </si>
  <si>
    <t>WESTOVER APARTMENTS</t>
  </si>
  <si>
    <t>BRITTANY ARMS APARTMENTS</t>
  </si>
  <si>
    <t>DAVID L. JORDAN APARTMENTS II</t>
  </si>
  <si>
    <t>PINE HAVEN HEIGHTS 99</t>
  </si>
  <si>
    <t>BRITTANY ESTATES</t>
  </si>
  <si>
    <t>RED OAKS ESTATES</t>
  </si>
  <si>
    <t>PROVIDENCE POINTE II</t>
  </si>
  <si>
    <t>WINDWOOD MANOR</t>
  </si>
  <si>
    <t>GARDNER BOCLAIR ESTATES LP</t>
  </si>
  <si>
    <t>ROSEDALE MANOR APARTMENTS</t>
  </si>
  <si>
    <t>PARK WIND APARTMENTS PHASE II</t>
  </si>
  <si>
    <t>SOUTHERN VILLAS APARTMENTS</t>
  </si>
  <si>
    <t>BRITTANY ARMS II</t>
  </si>
  <si>
    <t>DEVONSHIRE APARTMENTS</t>
  </si>
  <si>
    <t>PINE HILL APARTMENTS</t>
  </si>
  <si>
    <t>LILAC ESTATES LP</t>
  </si>
  <si>
    <t>CH-1002113</t>
  </si>
  <si>
    <t>LES LANE APARTMENT</t>
  </si>
  <si>
    <t>CH-10051</t>
  </si>
  <si>
    <t>TCHULA TOWNHOME APARTMENTS</t>
  </si>
  <si>
    <t>CH-M0128010023</t>
  </si>
  <si>
    <t>NORTH SHELBY III APARTMENTS</t>
  </si>
  <si>
    <t>CHM96010021</t>
  </si>
  <si>
    <t>BROADWAY VILLAS</t>
  </si>
  <si>
    <t>CHM9728010023</t>
  </si>
  <si>
    <t>SHAW APARTMENT HOMES</t>
  </si>
  <si>
    <t>D03-000</t>
  </si>
  <si>
    <t>MS HOUSING DEVELOPMENT</t>
  </si>
  <si>
    <t>D10-1-099</t>
  </si>
  <si>
    <t>CLARK VEGAS VILLAS</t>
  </si>
  <si>
    <t>F217443735</t>
  </si>
  <si>
    <t>WATER STREET</t>
  </si>
  <si>
    <t>F410010200</t>
  </si>
  <si>
    <t>WESTWIND DUPLEXES &amp; TOWNHOMES</t>
  </si>
  <si>
    <t>F627814293</t>
  </si>
  <si>
    <t>COLONY HOUSE II APARTMENTS</t>
  </si>
  <si>
    <t>F934201600</t>
  </si>
  <si>
    <t>MONACO LAKE TOWNHOMES</t>
  </si>
  <si>
    <t>HR-M97280103</t>
  </si>
  <si>
    <t>ARCOLA APARTMENT HOMES</t>
  </si>
  <si>
    <t>M00-CH28010020</t>
  </si>
  <si>
    <t>CHARLES SCATTERGOOD VILLA APARTMENTS</t>
  </si>
  <si>
    <t>M00-SG-28010111</t>
  </si>
  <si>
    <t>HAZELHURST APARTMENT</t>
  </si>
  <si>
    <t>M00SG28010998</t>
  </si>
  <si>
    <t>DUCK HILL APARTMENTS</t>
  </si>
  <si>
    <t>M01CH28010040</t>
  </si>
  <si>
    <t>ROME APARTMENT HOMES</t>
  </si>
  <si>
    <t>M01SG28010976</t>
  </si>
  <si>
    <t>PATTISON III</t>
  </si>
  <si>
    <t>M02-SG280-10021</t>
  </si>
  <si>
    <t>PORT CITY VILLAS</t>
  </si>
  <si>
    <t>M02CH28011039</t>
  </si>
  <si>
    <t>VALLEY APARTMENT HOMES</t>
  </si>
  <si>
    <t>M02SG280109777</t>
  </si>
  <si>
    <t>GREEN VILLAS APARTMENT</t>
  </si>
  <si>
    <t>M03-SG-280-1006</t>
  </si>
  <si>
    <t>ISOLA HOME II</t>
  </si>
  <si>
    <t>M04-SG-28011044</t>
  </si>
  <si>
    <t>MACE GARDEN APARTMENTS</t>
  </si>
  <si>
    <t>M04SG28010050</t>
  </si>
  <si>
    <t>WE CARE COMMUNITY SERVICES</t>
  </si>
  <si>
    <t>M04SG28011043</t>
  </si>
  <si>
    <t>HOUSTON APARTMENTS HOMES</t>
  </si>
  <si>
    <t>M07-SG-28010006</t>
  </si>
  <si>
    <t>ISOLA APARTMENT HOMES III</t>
  </si>
  <si>
    <t>M08SG28010027</t>
  </si>
  <si>
    <t>FAYETTE X</t>
  </si>
  <si>
    <t>M08SG28010049</t>
  </si>
  <si>
    <t>WASHINGTON APARTMENT HOMES I</t>
  </si>
  <si>
    <t>M10CH28010049</t>
  </si>
  <si>
    <t>WASHINGTON HOME APARTMENTS II</t>
  </si>
  <si>
    <t>M12CH28010013</t>
  </si>
  <si>
    <t>OSCAR PRICE JR. ESTATES</t>
  </si>
  <si>
    <t>M96-SG-28-0947</t>
  </si>
  <si>
    <t>Ruleville Apartments</t>
  </si>
  <si>
    <t>M97-CH28010011</t>
  </si>
  <si>
    <t>MOUND BAYOU HOMES</t>
  </si>
  <si>
    <t>M97-SG-28-0133</t>
  </si>
  <si>
    <t>FAYETTE II APARTMENT</t>
  </si>
  <si>
    <t>M97-SG280940</t>
  </si>
  <si>
    <t>BURNSVILLE APARTMENTS</t>
  </si>
  <si>
    <t>M97SG280944</t>
  </si>
  <si>
    <t>GLEN ALLEN APARTMENT</t>
  </si>
  <si>
    <t>M98-CH-280-1007</t>
  </si>
  <si>
    <t>ISOLA HOME APT I</t>
  </si>
  <si>
    <t>M98-SG-28010179</t>
  </si>
  <si>
    <t>TOWN OF BASSFIELD</t>
  </si>
  <si>
    <t>M98CH28010026</t>
  </si>
  <si>
    <t>STEWART MANOR II</t>
  </si>
  <si>
    <t>M98SG28010959</t>
  </si>
  <si>
    <t>M99-CH-28010029</t>
  </si>
  <si>
    <t>FAYETTE APARTMENT HOME V</t>
  </si>
  <si>
    <t>M99-CH-28010032</t>
  </si>
  <si>
    <t>67 BASSFIELD APARTMENTS II</t>
  </si>
  <si>
    <t>M99-SG-28010976</t>
  </si>
  <si>
    <t>PATTISON II</t>
  </si>
  <si>
    <t>M99-SG-28010978</t>
  </si>
  <si>
    <t>IUKA ELDERLY APARTMENT HOMES</t>
  </si>
  <si>
    <t>M99-SG-28010980</t>
  </si>
  <si>
    <t>NOXAPATER ELDERLY APT</t>
  </si>
  <si>
    <t>M99-SG28010979</t>
  </si>
  <si>
    <t>FAYETTE APARTMENT HOMES IV</t>
  </si>
  <si>
    <t>M99CH28010021</t>
  </si>
  <si>
    <t>CHATHAM VILLAS II</t>
  </si>
  <si>
    <t>M99SG28010913</t>
  </si>
  <si>
    <t>SIMMON APARMENTS OR MONTGOMERY ROAD</t>
  </si>
  <si>
    <t>M99SG28010975</t>
  </si>
  <si>
    <t>CENTREVILLE APT HOME I</t>
  </si>
  <si>
    <t>M99SG28010977</t>
  </si>
  <si>
    <t>CHATHAM VILLAS I</t>
  </si>
  <si>
    <t>TALOG</t>
  </si>
  <si>
    <t>TECHNICAL ASSISTANCE LOG</t>
  </si>
  <si>
    <t>ATTENTION!  ATTENTION!  ATTENTION!</t>
  </si>
  <si>
    <t xml:space="preserve"> A DFAR CERTIFICATION REPORT IS DUE TO MHC COVERING THE REPORTING PERIOD FOR EACH EUP DEVELOMENT LISTED BELOW.</t>
  </si>
  <si>
    <r>
      <t xml:space="preserve">A DFAR Certification Report is also REQUIRED TO BE SUBMITTED for ALL developments operating in its </t>
    </r>
    <r>
      <rPr>
        <b/>
        <sz val="12"/>
        <color theme="1" tint="0.249977111117893"/>
        <rFont val="Aptos Narrow"/>
        <family val="2"/>
        <scheme val="minor"/>
      </rPr>
      <t>initial 15-YEAR COMPLIANCE PERIOD</t>
    </r>
    <r>
      <rPr>
        <b/>
        <sz val="11"/>
        <color theme="1" tint="0.249977111117893"/>
        <rFont val="Aptos Narrow"/>
        <family val="2"/>
        <scheme val="minor"/>
      </rPr>
      <t>.</t>
    </r>
  </si>
  <si>
    <r>
      <t xml:space="preserve">DIRECTIONS:  </t>
    </r>
    <r>
      <rPr>
        <sz val="10"/>
        <color rgb="FF000000"/>
        <rFont val="Aptos Narrow"/>
        <family val="2"/>
        <scheme val="minor"/>
      </rPr>
      <t xml:space="preserve">Complete this certification to report on the overall health of the development, the annual debt service coverage ratio, and status of the development's replacement and operating reserve accounts. </t>
    </r>
  </si>
  <si>
    <t xml:space="preserve">AUTHORIZED SIGNATORY* </t>
  </si>
  <si>
    <t>PROPERTY PRIMARY POINT OF CONTACT FORM</t>
  </si>
  <si>
    <t>PROPERTY PRIMARY POINT OF CONTACT</t>
  </si>
  <si>
    <t>(The person(s) listed here will be allowed to sign standard compliance audit reports on behalf of the ownership entity listed above.  The owner of record will remain the person responsible for executing annual certification reports and essential compliance documents.)</t>
  </si>
  <si>
    <r>
      <rPr>
        <b/>
        <i/>
        <sz val="11"/>
        <color theme="1"/>
        <rFont val="Aptos Narrow"/>
        <family val="2"/>
        <scheme val="minor"/>
      </rPr>
      <t>NOTE</t>
    </r>
    <r>
      <rPr>
        <i/>
        <sz val="11"/>
        <color theme="1"/>
        <rFont val="Aptos Narrow"/>
        <family val="2"/>
        <scheme val="minor"/>
      </rPr>
      <t>:  The AOC Report can ONLY be EXECUTED by the owner of record for the Property.  If there has been a change in the ownership GP/approved signatory since the last AOC Report submittal, remit a copy of the Ownership Schematic, Operating Agreement, Resolution, Bylaws, or Minutes to support the change.  NOTE:  Processing fees may apply.</t>
    </r>
  </si>
  <si>
    <t>Owner Signature:</t>
  </si>
  <si>
    <t>Printed Name:</t>
  </si>
  <si>
    <t>AOC REPORT COMPONENTS</t>
  </si>
  <si>
    <t xml:space="preserve">HTC ANNUAL OWNER CERTIFICATION  </t>
  </si>
  <si>
    <t xml:space="preserve">NOTARY </t>
  </si>
  <si>
    <t>`</t>
  </si>
  <si>
    <r>
      <rPr>
        <b/>
        <sz val="11"/>
        <rFont val="Aptos Narrow"/>
        <family val="2"/>
        <scheme val="minor"/>
      </rPr>
      <t>DEBT SERVICE COVERAGE RATIO</t>
    </r>
    <r>
      <rPr>
        <sz val="11"/>
        <rFont val="Aptos Narrow"/>
        <family val="2"/>
        <scheme val="minor"/>
      </rPr>
      <t xml:space="preserve"> (DSCR) (Year-End Ratio)(Attach a detailed explanation for how the DSCR number was determined.)</t>
    </r>
  </si>
  <si>
    <t xml:space="preserve">Are there any members of this housing needs characteristic satisfying a required deeper income target obligation?  If Yes, use the chart to identify each qualified individual/household. </t>
  </si>
  <si>
    <t>Complete the chart below listing EACH QUALIFIED MAOI household.  Include all occupant activity throughout the year, not just year-end occupant information. Attach documentation supporting SNP household OR evidence of marketing/outreach.   For each NEW MOVE-IN, ATTACH a copy of the executed Choice Referral form.  Use an additional sheet, if needed.</t>
  </si>
  <si>
    <r>
      <t xml:space="preserve">DSCR STATEMENET OF EXPLANATION: </t>
    </r>
    <r>
      <rPr>
        <sz val="10"/>
        <color theme="0" tint="-4.9989318521683403E-2"/>
        <rFont val="Aptos Narrow"/>
        <family val="2"/>
        <scheme val="minor"/>
      </rPr>
      <t xml:space="preserve"> In the space provided, prepare a written response detailing how the DSCR was determined and attach supporting documents for the numbers used in the calculation.  If the DSCR falls outside the targeted range, provide a brief explanation detailing the reason along with a concise plan of action to address the unacceptable DSCR.  ATTACH additional sheet if needed. </t>
    </r>
  </si>
  <si>
    <t>For DSCR less than 1, enter "0." before the number.</t>
  </si>
  <si>
    <r>
      <t xml:space="preserve">EXPLANATION OF WITHDRAWAL: </t>
    </r>
    <r>
      <rPr>
        <sz val="10"/>
        <color theme="0" tint="-4.9989318521683403E-2"/>
        <rFont val="Aptos Narrow"/>
        <family val="2"/>
        <scheme val="minor"/>
      </rPr>
      <t xml:space="preserve"> IF WITHDRAWALS WERE TAKEN FROM THE RR ACCOUNT (refer to #5), in the space provided, prepare a written response detailing the reason funds were withdrawn, include an explanation for why the withdrawal amounts is less than withdrawal guidelines.  Include any plans to replenish the account.  ATTACH additional sheet if needed. </t>
    </r>
  </si>
  <si>
    <t>MHC 03/2025</t>
  </si>
  <si>
    <r>
      <t xml:space="preserve">A Property Primary Point of Contact form is </t>
    </r>
    <r>
      <rPr>
        <b/>
        <i/>
        <sz val="10"/>
        <color rgb="FFC00000"/>
        <rFont val="Arial Narrow"/>
        <family val="2"/>
      </rPr>
      <t>required</t>
    </r>
    <r>
      <rPr>
        <sz val="10"/>
        <color theme="1"/>
        <rFont val="Arial Narrow"/>
        <family val="2"/>
      </rPr>
      <t xml:space="preserve"> </t>
    </r>
    <r>
      <rPr>
        <b/>
        <i/>
        <sz val="10"/>
        <color rgb="FFC00000"/>
        <rFont val="Arial Narrow"/>
        <family val="2"/>
      </rPr>
      <t>annually</t>
    </r>
    <r>
      <rPr>
        <sz val="10"/>
        <color theme="1"/>
        <rFont val="Arial Narrow"/>
        <family val="2"/>
      </rPr>
      <t xml:space="preserve"> of all HTC program participants reflecting the current contact information of the property.</t>
    </r>
  </si>
  <si>
    <r>
      <t xml:space="preserve">DIRECTIONS:  </t>
    </r>
    <r>
      <rPr>
        <sz val="10"/>
        <color rgb="FF000000"/>
        <rFont val="Aptos Narrow"/>
        <family val="2"/>
        <scheme val="minor"/>
      </rPr>
      <t xml:space="preserve">The following reports/support documents are required (where applicable) for submittal in satisfaction of an owner's annual certification obligation under Federal Statute 26 CFR 1.42-5. </t>
    </r>
    <r>
      <rPr>
        <b/>
        <sz val="10"/>
        <color rgb="FF000000"/>
        <rFont val="Aptos Narrow"/>
        <family val="2"/>
        <scheme val="minor"/>
      </rPr>
      <t xml:space="preserve"> </t>
    </r>
    <r>
      <rPr>
        <sz val="10"/>
        <color rgb="FF000000"/>
        <rFont val="Aptos Narrow"/>
        <family val="2"/>
        <scheme val="minor"/>
      </rPr>
      <t xml:space="preserve">Use this Checklist to indicate the documents attached.  Remit a COMPLETE set of all documents (as </t>
    </r>
    <r>
      <rPr>
        <b/>
        <sz val="10"/>
        <color rgb="FF000000"/>
        <rFont val="Aptos Narrow"/>
        <family val="2"/>
        <scheme val="minor"/>
      </rPr>
      <t>ONE</t>
    </r>
    <r>
      <rPr>
        <sz val="10"/>
        <color rgb="FF000000"/>
        <rFont val="Aptos Narrow"/>
        <family val="2"/>
        <scheme val="minor"/>
      </rPr>
      <t xml:space="preserve"> pdf file, per development), to MHC at compliance.htc@mshc.com </t>
    </r>
    <r>
      <rPr>
        <b/>
        <i/>
        <sz val="10"/>
        <color rgb="FF000000"/>
        <rFont val="Aptos Narrow"/>
        <family val="2"/>
        <scheme val="minor"/>
      </rPr>
      <t>on or before</t>
    </r>
    <r>
      <rPr>
        <b/>
        <sz val="10"/>
        <color rgb="FF000000"/>
        <rFont val="Aptos Narrow"/>
        <family val="2"/>
        <scheme val="minor"/>
      </rPr>
      <t xml:space="preserve"> May 31, 2025</t>
    </r>
    <r>
      <rPr>
        <sz val="10"/>
        <color rgb="FF000000"/>
        <rFont val="Aptos Narrow"/>
        <family val="2"/>
        <scheme val="minor"/>
      </rPr>
      <t xml:space="preserve">. </t>
    </r>
  </si>
  <si>
    <t>Due:  On or before 11:59 pm, May 31, 2025</t>
  </si>
  <si>
    <t>Deadline for submission:  On or before May 31, 2025</t>
  </si>
  <si>
    <t>(Deadline for submission: on or before May 31, 2025)</t>
  </si>
  <si>
    <t>(Deadline for submission:  on or before May 31, 2025)</t>
  </si>
  <si>
    <t>(Deadline for submission:on or before May 31, 2025)</t>
  </si>
  <si>
    <t>(Deadline for submission is on or before May 31, 2025)</t>
  </si>
  <si>
    <t>04-004</t>
  </si>
  <si>
    <t>01/01/2024</t>
  </si>
  <si>
    <t>04-012</t>
  </si>
  <si>
    <t>05-003</t>
  </si>
  <si>
    <t>06-003</t>
  </si>
  <si>
    <t>06-008</t>
  </si>
  <si>
    <t>06-024</t>
  </si>
  <si>
    <t>06-027</t>
  </si>
  <si>
    <t>06-028</t>
  </si>
  <si>
    <t>06-030</t>
  </si>
  <si>
    <t>06-053</t>
  </si>
  <si>
    <t>06-056</t>
  </si>
  <si>
    <t>06-069</t>
  </si>
  <si>
    <t>06-071</t>
  </si>
  <si>
    <t>06-075</t>
  </si>
  <si>
    <t>06-076</t>
  </si>
  <si>
    <t>06-099</t>
  </si>
  <si>
    <t>06-114</t>
  </si>
  <si>
    <t>06-133</t>
  </si>
  <si>
    <t>07-002</t>
  </si>
  <si>
    <t>07-009</t>
  </si>
  <si>
    <t>07-015</t>
  </si>
  <si>
    <t>07-016</t>
  </si>
  <si>
    <t>07-020</t>
  </si>
  <si>
    <t>07-023</t>
  </si>
  <si>
    <t>07-024</t>
  </si>
  <si>
    <t>07-026</t>
  </si>
  <si>
    <t>07-029</t>
  </si>
  <si>
    <t>07-2-003</t>
  </si>
  <si>
    <t>07-2-004</t>
  </si>
  <si>
    <t>07-2-007</t>
  </si>
  <si>
    <t>07-2-012</t>
  </si>
  <si>
    <t>07-2-013</t>
  </si>
  <si>
    <t>07-2-018</t>
  </si>
  <si>
    <t>07-2-024</t>
  </si>
  <si>
    <t>07-2-027</t>
  </si>
  <si>
    <t>07-2-028</t>
  </si>
  <si>
    <t>07-2-030</t>
  </si>
  <si>
    <t>07-2-036</t>
  </si>
  <si>
    <t>07-2-044</t>
  </si>
  <si>
    <t>07-2-046</t>
  </si>
  <si>
    <t>07-3-088</t>
  </si>
  <si>
    <t>BURKETTS CREEK II (BANKSTON ARMS II)**</t>
  </si>
  <si>
    <t>BURKETTS CREEK V**</t>
  </si>
  <si>
    <t>WELLS PLACE**</t>
  </si>
  <si>
    <t>VALLEY PARK SUBDIVISION PHASE I**</t>
  </si>
  <si>
    <t>CHAPEL ESTATES PHASE II**</t>
  </si>
  <si>
    <t>BURKETTS CREEK III**</t>
  </si>
  <si>
    <t>WELLS PLACE II**</t>
  </si>
  <si>
    <t>BOLIVAR HOMES**</t>
  </si>
  <si>
    <t>SUNFLOWER ESTATES**</t>
  </si>
  <si>
    <t>KINGSTON PLACE**</t>
  </si>
  <si>
    <t>MARABELLA ESTATES PHASE I**</t>
  </si>
  <si>
    <t>ROXBURY COVE**</t>
  </si>
  <si>
    <t>PARKWAY PLACE**</t>
  </si>
  <si>
    <t>LEAGUE COVE AND ROBERT'S ESTATES**</t>
  </si>
  <si>
    <t>CHOCTAW HOMES I**</t>
  </si>
  <si>
    <t>LINCOLN ESTATES**</t>
  </si>
  <si>
    <t>PROVIDENCE PLACE**</t>
  </si>
  <si>
    <t>LAUREL GARDENS II**</t>
  </si>
  <si>
    <t>BURKETTS CREEK IV**</t>
  </si>
  <si>
    <t>OAKWOOD PARK ESTATES**</t>
  </si>
  <si>
    <t>BEVERLY HILLS HOMES**</t>
  </si>
  <si>
    <t>MARABELLA ESTATES PHASE II**</t>
  </si>
  <si>
    <t>BURKETTS CREEK I**</t>
  </si>
  <si>
    <t>COLLINWOOD ESTATES**</t>
  </si>
  <si>
    <t>KINGSTON PLACE II**</t>
  </si>
  <si>
    <t>SHAW ESTATES**</t>
  </si>
  <si>
    <t>WIGGINS ESTATES**</t>
  </si>
  <si>
    <t>SUNDOWN GARDENS**</t>
  </si>
  <si>
    <t>TIMBER CREEK ESTATES**</t>
  </si>
  <si>
    <t>TIMBER CREEK ESTATES, PHASE II**</t>
  </si>
  <si>
    <t>THORTON HILL**</t>
  </si>
  <si>
    <t>An OCCPC Report is required to be submitted by ALL owners of an active (PIS) HTC developments, EXCEPT developments that have NOT received IRS form 8609 AND have NOT met their targeted applicable fraction as of 12/31 of the reporting period. NOTE:  If the first building placed in service (PIS) on or before 12/31/2024,  the development should have submitted an Initial Status Report.</t>
  </si>
  <si>
    <r>
      <t xml:space="preserve">The Supplemental Certification of HTC Compliance Report is required of ALL owners certifying to certain state specific (per the development's final HTC application) requirements.  Support documentation must be provided and uploaded to Emphasys' Certification Portal (COL) at </t>
    </r>
    <r>
      <rPr>
        <b/>
        <sz val="10"/>
        <color rgb="FFC00000"/>
        <rFont val="Arial Narrow"/>
        <family val="2"/>
      </rPr>
      <t>https://archivemhc.com/col/login.aspx</t>
    </r>
    <r>
      <rPr>
        <sz val="10"/>
        <color theme="1"/>
        <rFont val="Arial Narrow"/>
        <family val="2"/>
      </rPr>
      <t xml:space="preserve">. </t>
    </r>
  </si>
  <si>
    <t xml:space="preserve"> The Occupancy Report MUST BE remitted electronically utilizing MHC's Certification Online (COL) portal.</t>
  </si>
  <si>
    <t xml:space="preserve"> The OCCPC Report MUST BE remitted electronically utilizing MHC's Certification Online (COL) portal.</t>
  </si>
  <si>
    <r>
      <t xml:space="preserve">A DFAR is required of ALL developments that received an award of HTCs AND has an </t>
    </r>
    <r>
      <rPr>
        <u/>
        <sz val="10"/>
        <color theme="1"/>
        <rFont val="Arial Narrow"/>
        <family val="2"/>
      </rPr>
      <t>active</t>
    </r>
    <r>
      <rPr>
        <sz val="10"/>
        <color theme="1"/>
        <rFont val="Arial Narrow"/>
        <family val="2"/>
      </rPr>
      <t xml:space="preserve"> permanent loan on the property as of 12/31 of the reporting period.   Developments that entered the extended use period (EUP) </t>
    </r>
    <r>
      <rPr>
        <b/>
        <sz val="10"/>
        <color theme="1"/>
        <rFont val="Arial Narrow"/>
        <family val="2"/>
      </rPr>
      <t xml:space="preserve">PRIOR TO 2024 AND NOT SUBJECT TO A RIGHT OF FIRST REFUSAL HOMEOWNERSHIP CONVERSION OBLIGATION </t>
    </r>
    <r>
      <rPr>
        <sz val="10"/>
        <color theme="1"/>
        <rFont val="Arial Narrow"/>
        <family val="2"/>
      </rPr>
      <t xml:space="preserve">do </t>
    </r>
    <r>
      <rPr>
        <b/>
        <sz val="10"/>
        <color theme="1"/>
        <rFont val="Arial Narrow"/>
        <family val="2"/>
      </rPr>
      <t>NOT</t>
    </r>
    <r>
      <rPr>
        <sz val="10"/>
        <color theme="1"/>
        <rFont val="Arial Narrow"/>
        <family val="2"/>
      </rPr>
      <t xml:space="preserve"> need to complete PART D of the AOC Report component as this reporting obligation has been deemed satisfied.  </t>
    </r>
  </si>
  <si>
    <t>***PAYMENT PROCESSING FORM***</t>
  </si>
  <si>
    <r>
      <t xml:space="preserve">ONLY SUBMIT the Payment Processing form </t>
    </r>
    <r>
      <rPr>
        <b/>
        <sz val="12"/>
        <color rgb="FF000000"/>
        <rFont val="Aptos Narrow"/>
        <family val="2"/>
        <scheme val="minor"/>
      </rPr>
      <t>IF</t>
    </r>
    <r>
      <rPr>
        <sz val="12"/>
        <color rgb="FF000000"/>
        <rFont val="Aptos Narrow"/>
        <family val="2"/>
        <scheme val="minor"/>
      </rPr>
      <t xml:space="preserve"> the annual administrative fee has </t>
    </r>
    <r>
      <rPr>
        <b/>
        <sz val="12"/>
        <color rgb="FF000000"/>
        <rFont val="Aptos Narrow"/>
        <family val="2"/>
        <scheme val="minor"/>
      </rPr>
      <t>NOT PREVIOUSLY</t>
    </r>
    <r>
      <rPr>
        <sz val="12"/>
        <color rgb="FF000000"/>
        <rFont val="Aptos Narrow"/>
        <family val="2"/>
        <scheme val="minor"/>
      </rPr>
      <t xml:space="preserve"> been remitted AND/OR if the AOC Report is being submtted LATE.</t>
    </r>
  </si>
  <si>
    <r>
      <t xml:space="preserve">Payment Processing Form, </t>
    </r>
    <r>
      <rPr>
        <i/>
        <sz val="11"/>
        <rFont val="Aptos Narrow"/>
        <family val="2"/>
        <scheme val="minor"/>
      </rPr>
      <t>if applicable</t>
    </r>
    <r>
      <rPr>
        <sz val="11"/>
        <rFont val="Aptos Narrow"/>
        <family val="2"/>
        <scheme val="minor"/>
      </rPr>
      <t xml:space="preserve">  </t>
    </r>
  </si>
  <si>
    <t>Part B - Exhibit B:  Development-based Rental Assistance Activity Log*</t>
  </si>
  <si>
    <t>Monthly Financial Statements/General Ledgers (to support owner-provided rental assistance)</t>
  </si>
  <si>
    <t>Corrective Action paperwork for 'owner-corrected' program violations*</t>
  </si>
  <si>
    <r>
      <t>Late Submittal of Report Fee</t>
    </r>
    <r>
      <rPr>
        <b/>
        <sz val="11"/>
        <color rgb="FFC00000"/>
        <rFont val="Aptos Narrow"/>
        <family val="2"/>
        <scheme val="minor"/>
      </rPr>
      <t>*^</t>
    </r>
  </si>
  <si>
    <t>*^  Missed (LATE) submission fee:  $100 per day (first 5 days); $250 per day (days 6-15); $500 per day (days 16-30).  Manually adjust the rate/unit amount according to the rate applicable at the time of submission.</t>
  </si>
  <si>
    <r>
      <t xml:space="preserve">DIRECTIONS: </t>
    </r>
    <r>
      <rPr>
        <b/>
        <sz val="10"/>
        <color rgb="FFC00000"/>
        <rFont val="Aptos Narrow"/>
        <family val="2"/>
        <scheme val="minor"/>
      </rPr>
      <t xml:space="preserve"> THIS FORM IS REQUIRED TO BE SUBMITTED WITH </t>
    </r>
    <r>
      <rPr>
        <b/>
        <u/>
        <sz val="10"/>
        <color rgb="FFC00000"/>
        <rFont val="Aptos Narrow"/>
        <family val="2"/>
        <scheme val="minor"/>
      </rPr>
      <t>LATE</t>
    </r>
    <r>
      <rPr>
        <b/>
        <sz val="10"/>
        <color rgb="FFC00000"/>
        <rFont val="Aptos Narrow"/>
        <family val="2"/>
        <scheme val="minor"/>
      </rPr>
      <t xml:space="preserve"> AOC REPORT SUBMISSSIONS AND with remittance of the annual EUP FEES.  Only submit this form and payment IF THE 2025 EUP FEE WAS NOT PREVIOUSLY SUBMITTED  OR IF THE 2025 AOC REPORT IS LATE</t>
    </r>
    <r>
      <rPr>
        <b/>
        <sz val="10"/>
        <color rgb="FF000000"/>
        <rFont val="Aptos Narrow"/>
        <family val="2"/>
        <scheme val="minor"/>
      </rPr>
      <t xml:space="preserve">.  </t>
    </r>
    <r>
      <rPr>
        <sz val="10"/>
        <color rgb="FF000000"/>
        <rFont val="Aptos Narrow"/>
        <family val="2"/>
        <scheme val="minor"/>
      </rPr>
      <t xml:space="preserve"> ONE form for each development.  Indicate payment type and invoice number (where applicable),  per development.  </t>
    </r>
  </si>
  <si>
    <t>The Owner's Certification of Continuing Program Compliance Report MUST BE SUBMITTED via MHCs Certification Online (COL) portal:</t>
  </si>
  <si>
    <t>https://archivemhc.com/col/login.aspx</t>
  </si>
  <si>
    <r>
      <t xml:space="preserve">Occupancy (Rent Roll) Report </t>
    </r>
    <r>
      <rPr>
        <b/>
        <sz val="11"/>
        <color rgb="FFC00000"/>
        <rFont val="Aptos Narrow"/>
        <family val="2"/>
        <scheme val="minor"/>
      </rPr>
      <t xml:space="preserve">(TO BE GENERATED FROM PROPERTY'S SOFTWARE SYSTEM </t>
    </r>
    <r>
      <rPr>
        <b/>
        <u/>
        <sz val="11"/>
        <color rgb="FFC00000"/>
        <rFont val="Aptos Narrow"/>
        <family val="2"/>
        <scheme val="minor"/>
      </rPr>
      <t>NOT</t>
    </r>
    <r>
      <rPr>
        <b/>
        <sz val="11"/>
        <color rgb="FFC00000"/>
        <rFont val="Aptos Narrow"/>
        <family val="2"/>
        <scheme val="minor"/>
      </rPr>
      <t xml:space="preserve"> COL)</t>
    </r>
  </si>
  <si>
    <t xml:space="preserve">HOUSING FOR DEEPER INCOME TARGETED HOUSEHOLDS (w/no additional targeted population requirement) </t>
  </si>
  <si>
    <r>
      <t xml:space="preserve">No. of units at the project </t>
    </r>
    <r>
      <rPr>
        <b/>
        <sz val="10"/>
        <rFont val="Aptos Narrow"/>
        <family val="2"/>
        <scheme val="minor"/>
      </rPr>
      <t>targeted</t>
    </r>
    <r>
      <rPr>
        <sz val="10"/>
        <rFont val="Aptos Narrow"/>
        <family val="2"/>
        <scheme val="minor"/>
      </rPr>
      <t xml:space="preserve"> to house qualified households whose income does not exceed thirty percent (30%) of the area median gross income?</t>
    </r>
  </si>
  <si>
    <t>PRINT</t>
  </si>
  <si>
    <t>QUALIFIED DIT Household?</t>
  </si>
  <si>
    <t xml:space="preserve">Complete the chart below to list DEEPER INCOME TARGETED HOUSEHOLDS fulfilling the obligation for the property. </t>
  </si>
  <si>
    <t>30% AMI</t>
  </si>
  <si>
    <t>50% AMI</t>
  </si>
  <si>
    <t>**A DFAR Certification Report is required annually during the EUP until AFTER completion of the SFLP Homeownership Conversion process.</t>
  </si>
  <si>
    <t>A DFAR Certification Report is required annually during the EUP until AFTER completion of the SFLP Homeownership Conversion process.  Developments impacted by this extended reporting requirement have ** to the right of the project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</si>
</sst>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m/d/yyyy;@"/>
    <numFmt numFmtId="166" formatCode="[$-409]h:mm\ AM/PM;@"/>
    <numFmt numFmtId="167" formatCode="[&lt;=9999999]###\-####;\(###\)\ ###\-####"/>
  </numFmts>
  <fonts count="135" x14ac:knownFonts="1">
    <font>
      <sz val="11"/>
      <color theme="1"/>
      <name val="Aptos Narrow"/>
      <family val="2"/>
      <scheme val="minor"/>
    </font>
    <font>
      <b/>
      <sz val="11"/>
      <color theme="0"/>
      <name val="Aptos Narrow"/>
      <family val="2"/>
      <scheme val="minor"/>
    </font>
    <font>
      <sz val="10"/>
      <color rgb="FF000000"/>
      <name val="Aptos Narrow"/>
      <family val="2"/>
      <scheme val="minor"/>
    </font>
    <font>
      <b/>
      <sz val="12"/>
      <color rgb="FF000000"/>
      <name val="Aptos Narrow"/>
      <family val="2"/>
      <scheme val="minor"/>
    </font>
    <font>
      <b/>
      <sz val="14"/>
      <color rgb="FF000000"/>
      <name val="Aptos Narrow"/>
      <family val="2"/>
      <scheme val="minor"/>
    </font>
    <font>
      <sz val="8"/>
      <color rgb="FF000000"/>
      <name val="Aptos Narrow"/>
      <family val="2"/>
      <scheme val="minor"/>
    </font>
    <font>
      <i/>
      <sz val="10"/>
      <color rgb="FF000000"/>
      <name val="Aptos Narrow"/>
      <family val="2"/>
      <scheme val="minor"/>
    </font>
    <font>
      <b/>
      <sz val="18"/>
      <color rgb="FF000000"/>
      <name val="Aptos Narrow"/>
      <family val="2"/>
      <scheme val="minor"/>
    </font>
    <font>
      <sz val="9"/>
      <color rgb="FF000000"/>
      <name val="Aptos Narrow"/>
      <family val="2"/>
      <scheme val="minor"/>
    </font>
    <font>
      <b/>
      <sz val="10"/>
      <color rgb="FF000000"/>
      <name val="Aptos Narrow"/>
      <family val="2"/>
      <scheme val="minor"/>
    </font>
    <font>
      <b/>
      <sz val="12"/>
      <color theme="0"/>
      <name val="Aptos Narrow"/>
      <family val="2"/>
      <scheme val="minor"/>
    </font>
    <font>
      <b/>
      <sz val="10"/>
      <color theme="0"/>
      <name val="Aptos Narrow"/>
      <family val="2"/>
      <scheme val="minor"/>
    </font>
    <font>
      <sz val="10"/>
      <color theme="0" tint="-4.9989318521683403E-2"/>
      <name val="Times New Roman"/>
      <family val="1"/>
    </font>
    <font>
      <sz val="10"/>
      <color rgb="FF000000"/>
      <name val="Calibri Light"/>
      <family val="2"/>
    </font>
    <font>
      <b/>
      <sz val="10"/>
      <color rgb="FF000000"/>
      <name val="Calibri Light"/>
      <family val="2"/>
    </font>
    <font>
      <b/>
      <sz val="12"/>
      <color rgb="FFFF0000"/>
      <name val="Aptos Narrow"/>
      <family val="2"/>
      <scheme val="minor"/>
    </font>
    <font>
      <sz val="10"/>
      <color rgb="FFFF0000"/>
      <name val="Aptos Narrow"/>
      <family val="2"/>
      <scheme val="minor"/>
    </font>
    <font>
      <b/>
      <i/>
      <sz val="10"/>
      <color rgb="FF000000"/>
      <name val="Aptos Narrow"/>
      <family val="2"/>
      <scheme val="minor"/>
    </font>
    <font>
      <b/>
      <sz val="11"/>
      <name val="Aptos Narrow"/>
      <family val="2"/>
      <scheme val="minor"/>
    </font>
    <font>
      <sz val="11"/>
      <name val="Aptos Narrow"/>
      <family val="2"/>
      <scheme val="minor"/>
    </font>
    <font>
      <sz val="11"/>
      <color rgb="FF000000"/>
      <name val="Aptos Narrow"/>
      <family val="2"/>
      <scheme val="minor"/>
    </font>
    <font>
      <b/>
      <sz val="11"/>
      <color rgb="FF000000"/>
      <name val="Aptos Narrow"/>
      <family val="2"/>
      <scheme val="minor"/>
    </font>
    <font>
      <b/>
      <sz val="11"/>
      <color theme="1"/>
      <name val="Aptos Narrow"/>
      <family val="2"/>
      <scheme val="minor"/>
    </font>
    <font>
      <b/>
      <sz val="14"/>
      <name val="Aptos Narrow"/>
      <family val="2"/>
      <scheme val="minor"/>
    </font>
    <font>
      <i/>
      <sz val="12"/>
      <color rgb="FF000000"/>
      <name val="Aptos Narrow"/>
      <family val="2"/>
      <scheme val="minor"/>
    </font>
    <font>
      <b/>
      <i/>
      <sz val="12"/>
      <color rgb="FF000000"/>
      <name val="Aptos Narrow"/>
      <family val="2"/>
      <scheme val="minor"/>
    </font>
    <font>
      <i/>
      <sz val="11"/>
      <name val="Aptos Narrow"/>
      <family val="2"/>
      <scheme val="minor"/>
    </font>
    <font>
      <u/>
      <sz val="11"/>
      <color theme="10"/>
      <name val="Aptos Narrow"/>
      <family val="2"/>
      <scheme val="minor"/>
    </font>
    <font>
      <u/>
      <sz val="12"/>
      <color theme="10"/>
      <name val="Aptos Narrow"/>
      <family val="2"/>
      <scheme val="minor"/>
    </font>
    <font>
      <sz val="10"/>
      <color theme="1"/>
      <name val="Aptos Narrow"/>
      <family val="2"/>
      <scheme val="minor"/>
    </font>
    <font>
      <sz val="11"/>
      <name val="Calibri Light"/>
      <family val="2"/>
    </font>
    <font>
      <b/>
      <i/>
      <sz val="11"/>
      <name val="Aptos Narrow"/>
      <family val="2"/>
      <scheme val="minor"/>
    </font>
    <font>
      <i/>
      <sz val="11"/>
      <color rgb="FF000000"/>
      <name val="Aptos Narrow"/>
      <family val="2"/>
      <scheme val="minor"/>
    </font>
    <font>
      <b/>
      <sz val="12"/>
      <color theme="1"/>
      <name val="Aptos Narrow"/>
      <family val="2"/>
      <scheme val="minor"/>
    </font>
    <font>
      <sz val="12"/>
      <color rgb="FF000000"/>
      <name val="Aptos Narrow"/>
      <family val="2"/>
      <scheme val="minor"/>
    </font>
    <font>
      <i/>
      <sz val="10"/>
      <name val="Aptos Narrow"/>
      <family val="2"/>
      <scheme val="minor"/>
    </font>
    <font>
      <b/>
      <sz val="12"/>
      <color rgb="FF000000"/>
      <name val="Arial Black"/>
      <family val="2"/>
    </font>
    <font>
      <sz val="10"/>
      <color theme="1"/>
      <name val="Calibri"/>
      <family val="2"/>
    </font>
    <font>
      <i/>
      <sz val="10"/>
      <color theme="1"/>
      <name val="Calibri"/>
      <family val="2"/>
    </font>
    <font>
      <sz val="11"/>
      <color theme="1"/>
      <name val="Calibri"/>
      <family val="2"/>
    </font>
    <font>
      <sz val="11"/>
      <color theme="1"/>
      <name val="Arial Black"/>
      <family val="2"/>
    </font>
    <font>
      <b/>
      <sz val="11"/>
      <color rgb="FF000000"/>
      <name val="Arial Black"/>
      <family val="2"/>
    </font>
    <font>
      <sz val="12"/>
      <color rgb="FF000000"/>
      <name val="Arial"/>
      <family val="2"/>
    </font>
    <font>
      <sz val="9.5"/>
      <color rgb="FF000000"/>
      <name val="Aptos Narrow"/>
      <family val="2"/>
      <scheme val="minor"/>
    </font>
    <font>
      <b/>
      <sz val="10"/>
      <name val="Aptos Narrow"/>
      <family val="2"/>
      <scheme val="minor"/>
    </font>
    <font>
      <sz val="10"/>
      <name val="Aptos Narrow"/>
      <family val="2"/>
      <scheme val="minor"/>
    </font>
    <font>
      <b/>
      <sz val="10"/>
      <name val="Times New Roman"/>
      <family val="1"/>
    </font>
    <font>
      <b/>
      <sz val="10"/>
      <color rgb="FF000000"/>
      <name val="Times New Roman"/>
      <family val="1"/>
    </font>
    <font>
      <b/>
      <sz val="10"/>
      <color theme="0" tint="-4.9989318521683403E-2"/>
      <name val="Aptos Narrow"/>
      <family val="2"/>
      <scheme val="minor"/>
    </font>
    <font>
      <sz val="10"/>
      <color rgb="FF000000"/>
      <name val="Aptos Display"/>
      <family val="2"/>
      <scheme val="major"/>
    </font>
    <font>
      <b/>
      <sz val="10"/>
      <color rgb="FF000000"/>
      <name val="Aptos Display"/>
      <family val="2"/>
      <scheme val="major"/>
    </font>
    <font>
      <sz val="9"/>
      <color rgb="FF000000"/>
      <name val="Aptos Display"/>
      <family val="2"/>
      <scheme val="major"/>
    </font>
    <font>
      <b/>
      <sz val="9"/>
      <color rgb="FF000000"/>
      <name val="Aptos Display"/>
      <family val="2"/>
      <scheme val="major"/>
    </font>
    <font>
      <sz val="10"/>
      <color rgb="FF000000"/>
      <name val="Times New Roman"/>
      <family val="1"/>
    </font>
    <font>
      <b/>
      <sz val="11"/>
      <color rgb="FF000000"/>
      <name val="Calibri Light"/>
      <family val="2"/>
    </font>
    <font>
      <i/>
      <sz val="10"/>
      <name val="Times New Roman"/>
      <family val="1"/>
    </font>
    <font>
      <sz val="10"/>
      <name val="Times New Roman"/>
      <family val="1"/>
    </font>
    <font>
      <sz val="10"/>
      <color theme="0" tint="-4.9989318521683403E-2"/>
      <name val="Aptos Narrow"/>
      <family val="2"/>
      <scheme val="minor"/>
    </font>
    <font>
      <sz val="24"/>
      <color theme="1"/>
      <name val="Arial Black"/>
      <family val="2"/>
    </font>
    <font>
      <sz val="12"/>
      <color theme="1"/>
      <name val="Arial"/>
      <family val="2"/>
    </font>
    <font>
      <sz val="11"/>
      <color rgb="FF996600"/>
      <name val="Aptos Narrow"/>
      <family val="2"/>
      <scheme val="minor"/>
    </font>
    <font>
      <sz val="24"/>
      <color rgb="FF996600"/>
      <name val="Arial Black"/>
      <family val="2"/>
    </font>
    <font>
      <u/>
      <sz val="24"/>
      <color rgb="FF996600"/>
      <name val="Arial Black"/>
      <family val="2"/>
    </font>
    <font>
      <sz val="24"/>
      <color theme="6" tint="0.59999389629810485"/>
      <name val="Arial Black"/>
      <family val="2"/>
    </font>
    <font>
      <sz val="24"/>
      <color theme="1" tint="0.249977111117893"/>
      <name val="Arial Black"/>
      <family val="2"/>
    </font>
    <font>
      <sz val="10"/>
      <color theme="1"/>
      <name val="Arial Narrow"/>
      <family val="2"/>
    </font>
    <font>
      <sz val="16"/>
      <color theme="0"/>
      <name val="Arial Black"/>
      <family val="2"/>
    </font>
    <font>
      <sz val="22"/>
      <color theme="2" tint="-0.749992370372631"/>
      <name val="Arial Black"/>
      <family val="2"/>
    </font>
    <font>
      <b/>
      <sz val="10"/>
      <color theme="1"/>
      <name val="Arial Narrow"/>
      <family val="2"/>
    </font>
    <font>
      <u/>
      <sz val="10"/>
      <color theme="1"/>
      <name val="Arial Narrow"/>
      <family val="2"/>
    </font>
    <font>
      <sz val="36"/>
      <color theme="1"/>
      <name val="Arial Black"/>
      <family val="2"/>
    </font>
    <font>
      <b/>
      <sz val="12"/>
      <color theme="0" tint="-4.9989318521683403E-2"/>
      <name val="Arial Black"/>
      <family val="2"/>
    </font>
    <font>
      <i/>
      <sz val="11"/>
      <color theme="1"/>
      <name val="Aptos Narrow"/>
      <family val="2"/>
      <scheme val="minor"/>
    </font>
    <font>
      <b/>
      <sz val="10"/>
      <color theme="2" tint="-0.749992370372631"/>
      <name val="Aptos Narrow"/>
      <family val="2"/>
      <scheme val="minor"/>
    </font>
    <font>
      <b/>
      <sz val="9"/>
      <color rgb="FF000000"/>
      <name val="Aptos Narrow"/>
      <family val="2"/>
      <scheme val="minor"/>
    </font>
    <font>
      <b/>
      <sz val="9"/>
      <name val="Aptos Narrow"/>
      <family val="2"/>
      <scheme val="minor"/>
    </font>
    <font>
      <b/>
      <sz val="11"/>
      <color theme="0" tint="-4.9989318521683403E-2"/>
      <name val="Aptos Narrow"/>
      <family val="2"/>
      <scheme val="minor"/>
    </font>
    <font>
      <sz val="36"/>
      <color theme="1"/>
      <name val="Arial"/>
      <family val="2"/>
    </font>
    <font>
      <sz val="11"/>
      <color theme="1"/>
      <name val="Arial"/>
      <family val="2"/>
    </font>
    <font>
      <sz val="11"/>
      <color theme="0"/>
      <name val="Arial"/>
      <family val="2"/>
    </font>
    <font>
      <sz val="14"/>
      <color theme="1"/>
      <name val="Arial Black"/>
      <family val="2"/>
    </font>
    <font>
      <b/>
      <sz val="12"/>
      <color theme="1"/>
      <name val="Arial"/>
      <family val="2"/>
    </font>
    <font>
      <sz val="12"/>
      <color theme="0"/>
      <name val="Arial Black"/>
      <family val="2"/>
    </font>
    <font>
      <i/>
      <sz val="9"/>
      <color theme="1"/>
      <name val="Arial"/>
      <family val="2"/>
    </font>
    <font>
      <sz val="11"/>
      <color rgb="FF1A4B7C"/>
      <name val="Aptos Narrow"/>
      <family val="2"/>
      <scheme val="minor"/>
    </font>
    <font>
      <sz val="60"/>
      <color rgb="FF1A4B7C"/>
      <name val="Arial Black"/>
      <family val="2"/>
    </font>
    <font>
      <sz val="11"/>
      <color rgb="FF000000"/>
      <name val="Aptos Display"/>
      <family val="2"/>
      <scheme val="major"/>
    </font>
    <font>
      <sz val="10"/>
      <color rgb="FF000000"/>
      <name val="Arial"/>
      <family val="2"/>
    </font>
    <font>
      <b/>
      <sz val="13"/>
      <color rgb="FF000000"/>
      <name val="Arial Black"/>
      <family val="2"/>
    </font>
    <font>
      <b/>
      <sz val="12"/>
      <color rgb="FF000000"/>
      <name val="Aptos Narrow"/>
      <family val="2"/>
    </font>
    <font>
      <sz val="11"/>
      <name val="Aptos Narrow"/>
      <family val="2"/>
    </font>
    <font>
      <b/>
      <sz val="11"/>
      <color rgb="FF000000"/>
      <name val="Aptos Narrow"/>
      <family val="2"/>
    </font>
    <font>
      <sz val="11"/>
      <color rgb="FF000000"/>
      <name val="Aptos Narrow"/>
      <family val="2"/>
    </font>
    <font>
      <b/>
      <sz val="12"/>
      <name val="Aptos Narrow"/>
      <family val="2"/>
      <scheme val="minor"/>
    </font>
    <font>
      <b/>
      <sz val="10"/>
      <color rgb="FFC00000"/>
      <name val="Aptos Narrow"/>
      <family val="2"/>
      <scheme val="minor"/>
    </font>
    <font>
      <b/>
      <sz val="11"/>
      <name val="Aptos Narrow"/>
      <family val="2"/>
    </font>
    <font>
      <i/>
      <sz val="11"/>
      <name val="Aptos Narrow"/>
      <family val="2"/>
    </font>
    <font>
      <b/>
      <i/>
      <sz val="11"/>
      <name val="Aptos Narrow"/>
      <family val="2"/>
    </font>
    <font>
      <b/>
      <sz val="12"/>
      <color theme="1"/>
      <name val="Aptos Narrow"/>
      <family val="2"/>
    </font>
    <font>
      <i/>
      <sz val="9"/>
      <name val="Aptos Narrow"/>
      <family val="2"/>
      <scheme val="minor"/>
    </font>
    <font>
      <sz val="6"/>
      <color rgb="FF000000"/>
      <name val="Aptos Narrow"/>
      <family val="2"/>
      <scheme val="minor"/>
    </font>
    <font>
      <sz val="10"/>
      <color rgb="FFC00000"/>
      <name val="Aptos Narrow"/>
      <family val="2"/>
      <scheme val="minor"/>
    </font>
    <font>
      <i/>
      <sz val="8"/>
      <color theme="1"/>
      <name val="Aptos Narrow"/>
      <family val="2"/>
      <scheme val="minor"/>
    </font>
    <font>
      <i/>
      <sz val="11"/>
      <color theme="1"/>
      <name val="Aptos Narrow"/>
      <family val="2"/>
    </font>
    <font>
      <sz val="12"/>
      <color theme="1"/>
      <name val="Aptos Narrow"/>
      <family val="2"/>
    </font>
    <font>
      <i/>
      <sz val="10"/>
      <color theme="1"/>
      <name val="Arial"/>
      <family val="2"/>
    </font>
    <font>
      <u/>
      <sz val="16"/>
      <color theme="0"/>
      <name val="Aptos Black"/>
      <family val="2"/>
    </font>
    <font>
      <u/>
      <sz val="18"/>
      <color theme="0"/>
      <name val="Aptos Black"/>
      <family val="2"/>
    </font>
    <font>
      <sz val="8"/>
      <name val="Aptos Narrow"/>
      <family val="2"/>
      <scheme val="minor"/>
    </font>
    <font>
      <i/>
      <sz val="10"/>
      <color theme="1"/>
      <name val="Aptos Narrow"/>
      <family val="2"/>
      <scheme val="minor"/>
    </font>
    <font>
      <b/>
      <sz val="8"/>
      <color rgb="FF000000"/>
      <name val="Aptos Narrow"/>
      <family val="2"/>
      <scheme val="minor"/>
    </font>
    <font>
      <b/>
      <sz val="16"/>
      <color theme="0"/>
      <name val="Aptos Black"/>
      <family val="2"/>
    </font>
    <font>
      <b/>
      <sz val="11"/>
      <color theme="1" tint="0.249977111117893"/>
      <name val="Aptos Narrow"/>
      <family val="2"/>
      <scheme val="minor"/>
    </font>
    <font>
      <b/>
      <sz val="12"/>
      <color theme="1" tint="0.249977111117893"/>
      <name val="Aptos Narrow"/>
      <family val="2"/>
      <scheme val="minor"/>
    </font>
    <font>
      <b/>
      <sz val="11"/>
      <color theme="1" tint="0.34998626667073579"/>
      <name val="Arial"/>
      <family val="2"/>
    </font>
    <font>
      <sz val="10"/>
      <color rgb="FF1A4B7C"/>
      <name val="Times New Roman"/>
      <family val="1"/>
    </font>
    <font>
      <sz val="11"/>
      <color theme="3" tint="0.499984740745262"/>
      <name val="Aptos Narrow"/>
      <family val="2"/>
      <scheme val="minor"/>
    </font>
    <font>
      <b/>
      <i/>
      <sz val="11"/>
      <color theme="1"/>
      <name val="Aptos Narrow"/>
      <family val="2"/>
      <scheme val="minor"/>
    </font>
    <font>
      <sz val="11"/>
      <color rgb="FFC00000"/>
      <name val="Aptos Narrow"/>
      <family val="2"/>
      <scheme val="minor"/>
    </font>
    <font>
      <i/>
      <sz val="12"/>
      <color rgb="FFC00000"/>
      <name val="Aptos Narrow"/>
      <family val="2"/>
      <scheme val="minor"/>
    </font>
    <font>
      <b/>
      <i/>
      <sz val="10"/>
      <color rgb="FFC00000"/>
      <name val="Arial Narrow"/>
      <family val="2"/>
    </font>
    <font>
      <b/>
      <sz val="10"/>
      <color rgb="FFC00000"/>
      <name val="Arial Narrow"/>
      <family val="2"/>
    </font>
    <font>
      <sz val="11"/>
      <color rgb="FF9C5700"/>
      <name val="Aptos Narrow"/>
      <family val="2"/>
      <scheme val="minor"/>
    </font>
    <font>
      <b/>
      <sz val="10"/>
      <color rgb="FFC00000"/>
      <name val="Times New Roman"/>
      <family val="1"/>
    </font>
    <font>
      <b/>
      <sz val="12"/>
      <color rgb="FF9C5700"/>
      <name val="Aptos Narrow"/>
      <family val="2"/>
      <scheme val="minor"/>
    </font>
    <font>
      <b/>
      <sz val="11"/>
      <color rgb="FFC00000"/>
      <name val="Aptos Narrow"/>
      <family val="2"/>
      <scheme val="minor"/>
    </font>
    <font>
      <b/>
      <u/>
      <sz val="11"/>
      <color rgb="FFC00000"/>
      <name val="Aptos Narrow"/>
      <family val="2"/>
      <scheme val="minor"/>
    </font>
    <font>
      <b/>
      <u/>
      <sz val="10"/>
      <color rgb="FFC00000"/>
      <name val="Aptos Narrow"/>
      <family val="2"/>
      <scheme val="minor"/>
    </font>
    <font>
      <i/>
      <sz val="10"/>
      <color rgb="FFC00000"/>
      <name val="Aptos Narrow"/>
      <family val="2"/>
      <scheme val="minor"/>
    </font>
    <font>
      <sz val="18"/>
      <color theme="1"/>
      <name val="Aptos Narrow"/>
      <family val="2"/>
      <scheme val="minor"/>
    </font>
    <font>
      <b/>
      <sz val="24"/>
      <color theme="1"/>
      <name val="Aptos Narrow"/>
      <family val="2"/>
      <scheme val="minor"/>
    </font>
    <font>
      <u/>
      <sz val="28"/>
      <color theme="10"/>
      <name val="Aptos Narrow"/>
      <family val="2"/>
      <scheme val="minor"/>
    </font>
    <font>
      <b/>
      <sz val="36"/>
      <color theme="9" tint="-0.249977111117893"/>
      <name val="Aptos Narrow"/>
      <family val="2"/>
      <scheme val="minor"/>
    </font>
    <font>
      <i/>
      <sz val="11"/>
      <color rgb="FFC00000"/>
      <name val="Aptos Narrow"/>
      <family val="2"/>
      <scheme val="minor"/>
    </font>
    <font>
      <b/>
      <sz val="14"/>
      <color theme="1"/>
      <name val="Aptos Narrow"/>
      <family val="2"/>
    </font>
  </fonts>
  <fills count="16">
    <fill>
      <patternFill patternType="none"/>
    </fill>
    <fill>
      <patternFill patternType="gray125"/>
    </fill>
    <fill>
      <patternFill patternType="solid">
        <fgColor theme="1"/>
        <bgColor indexed="64"/>
      </patternFill>
    </fill>
    <fill>
      <patternFill patternType="solid">
        <fgColor rgb="FF1A4B7C"/>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9"/>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FFFFCC"/>
        <bgColor indexed="64"/>
      </patternFill>
    </fill>
    <fill>
      <patternFill patternType="solid">
        <fgColor theme="2" tint="-9.9978637043366805E-2"/>
        <bgColor indexed="64"/>
      </patternFill>
    </fill>
    <fill>
      <patternFill patternType="solid">
        <fgColor rgb="FFFFEB9C"/>
      </patternFill>
    </fill>
  </fills>
  <borders count="132">
    <border>
      <left/>
      <right/>
      <top/>
      <bottom/>
      <diagonal/>
    </border>
    <border>
      <left/>
      <right style="medium">
        <color theme="0" tint="-0.499984740745262"/>
      </right>
      <top/>
      <bottom/>
      <diagonal/>
    </border>
    <border>
      <left style="medium">
        <color theme="0" tint="-0.499984740745262"/>
      </left>
      <right/>
      <top/>
      <bottom/>
      <diagonal/>
    </border>
    <border>
      <left style="medium">
        <color theme="0" tint="-0.499984740745262"/>
      </left>
      <right/>
      <top/>
      <bottom style="thin">
        <color theme="0" tint="-0.499984740745262"/>
      </bottom>
      <diagonal/>
    </border>
    <border>
      <left/>
      <right/>
      <top/>
      <bottom style="thin">
        <color theme="0" tint="-0.499984740745262"/>
      </bottom>
      <diagonal/>
    </border>
    <border>
      <left style="medium">
        <color theme="0" tint="-0.499984740745262"/>
      </left>
      <right/>
      <top style="thin">
        <color theme="0" tint="-0.499984740745262"/>
      </top>
      <bottom/>
      <diagonal/>
    </border>
    <border>
      <left/>
      <right/>
      <top style="thin">
        <color theme="0" tint="-0.499984740745262"/>
      </top>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bottom style="medium">
        <color theme="0" tint="-0.499984740745262"/>
      </bottom>
      <diagonal/>
    </border>
    <border>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medium">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top style="thin">
        <color theme="0" tint="-0.499984740745262"/>
      </top>
      <bottom style="thick">
        <color theme="0" tint="-0.499984740745262"/>
      </bottom>
      <diagonal/>
    </border>
    <border>
      <left/>
      <right/>
      <top style="medium">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bottom style="thin">
        <color indexed="64"/>
      </bottom>
      <diagonal/>
    </border>
    <border>
      <left/>
      <right/>
      <top/>
      <bottom style="hair">
        <color auto="1"/>
      </bottom>
      <diagonal/>
    </border>
    <border>
      <left/>
      <right/>
      <top style="double">
        <color theme="0" tint="-0.499984740745262"/>
      </top>
      <bottom style="double">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ck">
        <color theme="0" tint="-0.499984740745262"/>
      </left>
      <right/>
      <top style="thick">
        <color theme="0" tint="-0.499984740745262"/>
      </top>
      <bottom style="medium">
        <color theme="0" tint="-0.499984740745262"/>
      </bottom>
      <diagonal/>
    </border>
    <border>
      <left/>
      <right/>
      <top style="thick">
        <color theme="0" tint="-0.499984740745262"/>
      </top>
      <bottom style="medium">
        <color theme="0" tint="-0.499984740745262"/>
      </bottom>
      <diagonal/>
    </border>
    <border>
      <left/>
      <right style="thick">
        <color theme="0" tint="-0.499984740745262"/>
      </right>
      <top style="thick">
        <color theme="0" tint="-0.499984740745262"/>
      </top>
      <bottom style="medium">
        <color theme="0" tint="-0.499984740745262"/>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right style="medium">
        <color theme="0" tint="-0.499984740745262"/>
      </right>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style="dotted">
        <color theme="0" tint="-0.499984740745262"/>
      </top>
      <bottom style="medium">
        <color theme="0"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theme="0" tint="-0.499984740745262"/>
      </left>
      <right/>
      <top style="thick">
        <color theme="0" tint="-0.499984740745262"/>
      </top>
      <bottom style="thick">
        <color theme="0" tint="-0.499984740745262"/>
      </bottom>
      <diagonal/>
    </border>
    <border>
      <left/>
      <right/>
      <top style="thick">
        <color theme="0" tint="-0.499984740745262"/>
      </top>
      <bottom style="thick">
        <color theme="0" tint="-0.499984740745262"/>
      </bottom>
      <diagonal/>
    </border>
    <border>
      <left/>
      <right style="thick">
        <color theme="0" tint="-0.499984740745262"/>
      </right>
      <top style="thick">
        <color theme="0" tint="-0.499984740745262"/>
      </top>
      <bottom style="thick">
        <color theme="0" tint="-0.499984740745262"/>
      </bottom>
      <diagonal/>
    </border>
    <border>
      <left style="medium">
        <color theme="0" tint="-0.499984740745262"/>
      </left>
      <right/>
      <top style="thick">
        <color theme="0" tint="-0.499984740745262"/>
      </top>
      <bottom/>
      <diagonal/>
    </border>
    <border>
      <left/>
      <right/>
      <top style="thick">
        <color theme="0" tint="-0.499984740745262"/>
      </top>
      <bottom/>
      <diagonal/>
    </border>
    <border>
      <left/>
      <right style="medium">
        <color theme="0" tint="-0.499984740745262"/>
      </right>
      <top style="thick">
        <color theme="0" tint="-0.499984740745262"/>
      </top>
      <bottom/>
      <diagonal/>
    </border>
    <border>
      <left/>
      <right/>
      <top/>
      <bottom style="thick">
        <color theme="0" tint="-0.499984740745262"/>
      </bottom>
      <diagonal/>
    </border>
    <border>
      <left/>
      <right style="medium">
        <color theme="0" tint="-0.499984740745262"/>
      </right>
      <top style="thick">
        <color theme="0" tint="-0.499984740745262"/>
      </top>
      <bottom style="medium">
        <color theme="0" tint="-0.499984740745262"/>
      </bottom>
      <diagonal/>
    </border>
    <border>
      <left style="thin">
        <color theme="0" tint="-0.499984740745262"/>
      </left>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right style="medium">
        <color theme="0" tint="-0.14996795556505021"/>
      </right>
      <top/>
      <bottom/>
      <diagonal/>
    </border>
    <border>
      <left style="medium">
        <color theme="0" tint="-0.14996795556505021"/>
      </left>
      <right/>
      <top/>
      <bottom/>
      <diagonal/>
    </border>
    <border>
      <left style="thick">
        <color theme="0" tint="-0.499984740745262"/>
      </left>
      <right style="thick">
        <color theme="0" tint="-0.499984740745262"/>
      </right>
      <top style="thick">
        <color theme="0" tint="-0.499984740745262"/>
      </top>
      <bottom/>
      <diagonal/>
    </border>
    <border>
      <left style="thick">
        <color theme="0" tint="-0.499984740745262"/>
      </left>
      <right style="thick">
        <color theme="0" tint="-0.499984740745262"/>
      </right>
      <top/>
      <bottom/>
      <diagonal/>
    </border>
    <border>
      <left style="thick">
        <color theme="0" tint="-0.499984740745262"/>
      </left>
      <right style="thick">
        <color theme="0" tint="-0.499984740745262"/>
      </right>
      <top/>
      <bottom style="thick">
        <color theme="0" tint="-0.499984740745262"/>
      </bottom>
      <diagonal/>
    </border>
    <border>
      <left style="thick">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ck">
        <color theme="0" tint="-0.499984740745262"/>
      </right>
      <top style="medium">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style="thin">
        <color theme="0" tint="-0.499984740745262"/>
      </left>
      <right/>
      <top style="thin">
        <color theme="0" tint="-0.499984740745262"/>
      </top>
      <bottom style="thick">
        <color theme="0" tint="-0.499984740745262"/>
      </bottom>
      <diagonal/>
    </border>
    <border>
      <left/>
      <right style="thin">
        <color theme="0" tint="-0.499984740745262"/>
      </right>
      <top style="thin">
        <color theme="0" tint="-0.499984740745262"/>
      </top>
      <bottom style="thick">
        <color theme="0" tint="-0.499984740745262"/>
      </bottom>
      <diagonal/>
    </border>
    <border>
      <left style="thick">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ck">
        <color theme="0" tint="-0.499984740745262"/>
      </right>
      <top style="medium">
        <color theme="0" tint="-0.499984740745262"/>
      </top>
      <bottom style="thin">
        <color theme="0" tint="-0.499984740745262"/>
      </bottom>
      <diagonal/>
    </border>
    <border>
      <left style="thick">
        <color theme="0" tint="-0.499984740745262"/>
      </left>
      <right/>
      <top style="thin">
        <color theme="0" tint="-0.499984740745262"/>
      </top>
      <bottom style="thin">
        <color theme="0" tint="-0.499984740745262"/>
      </bottom>
      <diagonal/>
    </border>
    <border>
      <left style="thick">
        <color theme="0" tint="-0.499984740745262"/>
      </left>
      <right/>
      <top style="thin">
        <color theme="0" tint="-0.499984740745262"/>
      </top>
      <bottom style="thick">
        <color theme="0" tint="-0.499984740745262"/>
      </bottom>
      <diagonal/>
    </border>
    <border>
      <left/>
      <right style="thick">
        <color theme="0" tint="-0.499984740745262"/>
      </right>
      <top style="thin">
        <color theme="0" tint="-0.499984740745262"/>
      </top>
      <bottom style="thick">
        <color theme="0" tint="-0.499984740745262"/>
      </bottom>
      <diagonal/>
    </border>
    <border>
      <left style="thick">
        <color theme="0" tint="-0.499984740745262"/>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style="thick">
        <color theme="0" tint="-0.499984740745262"/>
      </bottom>
      <diagonal/>
    </border>
    <border>
      <left/>
      <right style="thick">
        <color theme="0" tint="-0.499984740745262"/>
      </right>
      <top/>
      <bottom style="thick">
        <color theme="0" tint="-0.499984740745262"/>
      </bottom>
      <diagonal/>
    </border>
    <border>
      <left/>
      <right style="thick">
        <color theme="0" tint="-0.499984740745262"/>
      </right>
      <top/>
      <bottom style="thin">
        <color theme="0" tint="-0.499984740745262"/>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right style="thick">
        <color theme="0" tint="-0.499984740745262"/>
      </right>
      <top/>
      <bottom/>
      <diagonal/>
    </border>
    <border>
      <left/>
      <right style="thick">
        <color theme="0" tint="-0.499984740745262"/>
      </right>
      <top style="thin">
        <color theme="0" tint="-0.499984740745262"/>
      </top>
      <bottom/>
      <diagonal/>
    </border>
    <border>
      <left style="thick">
        <color theme="0" tint="-0.499984740745262"/>
      </left>
      <right/>
      <top/>
      <bottom/>
      <diagonal/>
    </border>
    <border>
      <left style="thick">
        <color theme="0" tint="-0.499984740745262"/>
      </left>
      <right/>
      <top style="medium">
        <color theme="0" tint="-0.499984740745262"/>
      </top>
      <bottom style="thin">
        <color rgb="FF000000"/>
      </bottom>
      <diagonal/>
    </border>
    <border>
      <left style="thin">
        <color theme="0" tint="-0.499984740745262"/>
      </left>
      <right style="thick">
        <color theme="0" tint="-0.499984740745262"/>
      </right>
      <top style="medium">
        <color theme="0" tint="-0.499984740745262"/>
      </top>
      <bottom style="thin">
        <color rgb="FF000000"/>
      </bottom>
      <diagonal/>
    </border>
    <border>
      <left style="thick">
        <color theme="0" tint="-0.499984740745262"/>
      </left>
      <right/>
      <top style="thin">
        <color rgb="FF000000"/>
      </top>
      <bottom style="thin">
        <color theme="0" tint="-0.499984740745262"/>
      </bottom>
      <diagonal/>
    </border>
    <border>
      <left style="thin">
        <color theme="0" tint="-0.499984740745262"/>
      </left>
      <right style="thick">
        <color theme="0" tint="-0.499984740745262"/>
      </right>
      <top style="thin">
        <color rgb="FF000000"/>
      </top>
      <bottom style="thin">
        <color theme="0" tint="-0.499984740745262"/>
      </bottom>
      <diagonal/>
    </border>
    <border>
      <left style="thick">
        <color theme="0" tint="-0.499984740745262"/>
      </left>
      <right/>
      <top style="thin">
        <color rgb="FF000000"/>
      </top>
      <bottom style="thick">
        <color theme="0" tint="-0.499984740745262"/>
      </bottom>
      <diagonal/>
    </border>
    <border>
      <left style="thin">
        <color theme="0" tint="-0.499984740745262"/>
      </left>
      <right style="thick">
        <color theme="0" tint="-0.499984740745262"/>
      </right>
      <top style="thin">
        <color rgb="FF000000"/>
      </top>
      <bottom style="thick">
        <color theme="0" tint="-0.499984740745262"/>
      </bottom>
      <diagonal/>
    </border>
    <border>
      <left style="thin">
        <color theme="0" tint="-0.499984740745262"/>
      </left>
      <right style="thin">
        <color theme="0" tint="-0.499984740745262"/>
      </right>
      <top/>
      <bottom/>
      <diagonal/>
    </border>
    <border>
      <left/>
      <right/>
      <top style="dotted">
        <color theme="0" tint="-0.499984740745262"/>
      </top>
      <bottom style="dotted">
        <color theme="0" tint="-0.499984740745262"/>
      </bottom>
      <diagonal/>
    </border>
    <border>
      <left style="medium">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medium">
        <color theme="0" tint="-0.499984740745262"/>
      </right>
      <top style="thin">
        <color theme="0" tint="-0.499984740745262"/>
      </top>
      <bottom style="thick">
        <color theme="0" tint="-0.499984740745262"/>
      </bottom>
      <diagonal/>
    </border>
    <border>
      <left style="thin">
        <color theme="0" tint="-0.499984740745262"/>
      </left>
      <right style="medium">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medium">
        <color theme="0" tint="-0.499984740745262"/>
      </top>
      <bottom/>
      <diagonal/>
    </border>
    <border>
      <left style="thin">
        <color theme="0" tint="-0.499984740745262"/>
      </left>
      <right style="medium">
        <color theme="0" tint="-0.499984740745262"/>
      </right>
      <top/>
      <bottom/>
      <diagonal/>
    </border>
    <border>
      <left style="thin">
        <color theme="0" tint="-0.499984740745262"/>
      </left>
      <right style="medium">
        <color theme="0" tint="-0.499984740745262"/>
      </right>
      <top/>
      <bottom style="medium">
        <color theme="0" tint="-0.499984740745262"/>
      </bottom>
      <diagonal/>
    </border>
    <border>
      <left style="medium">
        <color theme="0" tint="-0.499984740745262"/>
      </left>
      <right style="thin">
        <color theme="0" tint="-0.499984740745262"/>
      </right>
      <top style="medium">
        <color theme="0" tint="-0.499984740745262"/>
      </top>
      <bottom/>
      <diagonal/>
    </border>
    <border>
      <left style="medium">
        <color theme="0" tint="-0.499984740745262"/>
      </left>
      <right style="thin">
        <color theme="0" tint="-0.499984740745262"/>
      </right>
      <top/>
      <bottom/>
      <diagonal/>
    </border>
    <border>
      <left style="medium">
        <color theme="0" tint="-0.499984740745262"/>
      </left>
      <right style="thin">
        <color theme="0" tint="-0.499984740745262"/>
      </right>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top style="thick">
        <color theme="0" tint="-0.499984740745262"/>
      </top>
      <bottom/>
      <diagonal/>
    </border>
    <border>
      <left style="thin">
        <color theme="0" tint="-0.499984740745262"/>
      </left>
      <right style="thin">
        <color theme="0" tint="-0.499984740745262"/>
      </right>
      <top/>
      <bottom style="thick">
        <color theme="0" tint="-0.499984740745262"/>
      </bottom>
      <diagonal/>
    </border>
    <border>
      <left style="thin">
        <color theme="0" tint="-0.499984740745262"/>
      </left>
      <right style="thick">
        <color theme="0" tint="-0.499984740745262"/>
      </right>
      <top/>
      <bottom style="thick">
        <color theme="0" tint="-0.499984740745262"/>
      </bottom>
      <diagonal/>
    </border>
    <border>
      <left style="medium">
        <color theme="0" tint="-0.499984740745262"/>
      </left>
      <right/>
      <top/>
      <bottom style="thick">
        <color theme="0" tint="-0.499984740745262"/>
      </bottom>
      <diagonal/>
    </border>
    <border>
      <left/>
      <right/>
      <top style="medium">
        <color theme="0" tint="-0.499984740745262"/>
      </top>
      <bottom style="thick">
        <color theme="0" tint="-0.499984740745262"/>
      </bottom>
      <diagonal/>
    </border>
    <border>
      <left style="medium">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medium">
        <color theme="0" tint="-0.499984740745262"/>
      </right>
      <top style="thick">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right/>
      <top style="thick">
        <color theme="0" tint="-0.499984740745262"/>
      </top>
      <bottom style="thin">
        <color theme="0" tint="-0.499984740745262"/>
      </bottom>
      <diagonal/>
    </border>
    <border>
      <left/>
      <right style="medium">
        <color theme="0" tint="-0.499984740745262"/>
      </right>
      <top style="thick">
        <color theme="0" tint="-0.499984740745262"/>
      </top>
      <bottom style="thin">
        <color theme="0" tint="-0.499984740745262"/>
      </bottom>
      <diagonal/>
    </border>
    <border>
      <left/>
      <right style="medium">
        <color theme="0" tint="-0.499984740745262"/>
      </right>
      <top style="thin">
        <color theme="0" tint="-0.499984740745262"/>
      </top>
      <bottom style="thick">
        <color theme="0" tint="-0.499984740745262"/>
      </bottom>
      <diagonal/>
    </border>
    <border>
      <left/>
      <right style="thin">
        <color theme="0" tint="-0.499984740745262"/>
      </right>
      <top style="thick">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theme="0" tint="-0.499984740745262"/>
      </left>
      <right/>
      <top style="thick">
        <color theme="0" tint="-0.499984740745262"/>
      </top>
      <bottom style="thin">
        <color theme="0" tint="-0.499984740745262"/>
      </bottom>
      <diagonal/>
    </border>
    <border>
      <left style="medium">
        <color theme="0" tint="-0.499984740745262"/>
      </left>
      <right/>
      <top style="thin">
        <color theme="0" tint="-0.499984740745262"/>
      </top>
      <bottom style="thick">
        <color theme="0" tint="-0.499984740745262"/>
      </bottom>
      <diagonal/>
    </border>
  </borders>
  <cellStyleXfs count="3">
    <xf numFmtId="0" fontId="0" fillId="0" borderId="0"/>
    <xf numFmtId="0" fontId="27" fillId="0" borderId="0" applyNumberFormat="0" applyFill="0" applyBorder="0" applyAlignment="0" applyProtection="0"/>
    <xf numFmtId="0" fontId="122" fillId="15" borderId="0" applyNumberFormat="0" applyBorder="0" applyAlignment="0" applyProtection="0"/>
  </cellStyleXfs>
  <cellXfs count="930">
    <xf numFmtId="0" fontId="0" fillId="0" borderId="0" xfId="0"/>
    <xf numFmtId="0" fontId="28" fillId="0" borderId="0" xfId="1" applyFont="1" applyFill="1" applyAlignment="1"/>
    <xf numFmtId="0" fontId="53" fillId="0" borderId="0" xfId="0" applyFont="1"/>
    <xf numFmtId="0" fontId="0" fillId="3" borderId="0" xfId="0" applyFill="1"/>
    <xf numFmtId="0" fontId="0" fillId="0" borderId="0" xfId="0" applyAlignment="1">
      <alignment horizontal="center"/>
    </xf>
    <xf numFmtId="0" fontId="0" fillId="0" borderId="0" xfId="0" applyAlignment="1">
      <alignment vertical="center"/>
    </xf>
    <xf numFmtId="0" fontId="2" fillId="3" borderId="0" xfId="0" applyFont="1" applyFill="1"/>
    <xf numFmtId="0" fontId="15" fillId="3" borderId="0" xfId="0" applyFont="1" applyFill="1"/>
    <xf numFmtId="0" fontId="16" fillId="3" borderId="0" xfId="0" applyFont="1" applyFill="1"/>
    <xf numFmtId="0" fontId="4" fillId="3" borderId="0" xfId="0" applyFont="1" applyFill="1" applyAlignment="1">
      <alignment horizontal="center" vertical="center"/>
    </xf>
    <xf numFmtId="0" fontId="6" fillId="3" borderId="0" xfId="0" applyFont="1" applyFill="1" applyAlignment="1">
      <alignment horizontal="center"/>
    </xf>
    <xf numFmtId="0" fontId="2" fillId="3" borderId="0" xfId="0" applyFont="1" applyFill="1" applyAlignment="1">
      <alignment horizontal="center" vertical="center" wrapText="1"/>
    </xf>
    <xf numFmtId="0" fontId="2" fillId="3" borderId="0" xfId="0" applyFont="1" applyFill="1" applyAlignment="1">
      <alignment horizontal="center"/>
    </xf>
    <xf numFmtId="0" fontId="20" fillId="3" borderId="0" xfId="0" applyFont="1" applyFill="1"/>
    <xf numFmtId="0" fontId="12" fillId="3" borderId="0" xfId="0" applyFont="1" applyFill="1" applyAlignment="1">
      <alignment horizontal="left" vertical="center"/>
    </xf>
    <xf numFmtId="0" fontId="13" fillId="3" borderId="0" xfId="0" applyFont="1" applyFill="1"/>
    <xf numFmtId="0" fontId="13" fillId="3" borderId="0" xfId="0" applyFont="1" applyFill="1" applyAlignment="1">
      <alignment vertical="center"/>
    </xf>
    <xf numFmtId="0" fontId="2" fillId="0" borderId="0" xfId="0" applyFont="1"/>
    <xf numFmtId="0" fontId="15" fillId="0" borderId="0" xfId="0" applyFont="1"/>
    <xf numFmtId="0" fontId="16" fillId="0" borderId="0" xfId="0" applyFont="1"/>
    <xf numFmtId="0" fontId="2" fillId="0" borderId="0" xfId="0" applyFont="1" applyAlignment="1">
      <alignment horizontal="center"/>
    </xf>
    <xf numFmtId="0" fontId="4" fillId="0" borderId="0" xfId="0" applyFont="1" applyAlignment="1">
      <alignment horizontal="center" vertical="center"/>
    </xf>
    <xf numFmtId="0" fontId="6" fillId="0" borderId="0" xfId="0" applyFont="1" applyAlignment="1">
      <alignment horizontal="center"/>
    </xf>
    <xf numFmtId="0" fontId="2" fillId="0" borderId="0" xfId="0" applyFont="1" applyAlignment="1">
      <alignment horizontal="center" vertical="center" wrapText="1"/>
    </xf>
    <xf numFmtId="0" fontId="8" fillId="0" borderId="7" xfId="0" applyFont="1" applyBorder="1"/>
    <xf numFmtId="0" fontId="2" fillId="0" borderId="7" xfId="0" applyFont="1" applyBorder="1"/>
    <xf numFmtId="0" fontId="2" fillId="0" borderId="8" xfId="0" applyFont="1" applyBorder="1"/>
    <xf numFmtId="0" fontId="2" fillId="0" borderId="7" xfId="0" applyFont="1" applyBorder="1" applyAlignment="1">
      <alignment horizontal="center" vertical="center" wrapText="1"/>
    </xf>
    <xf numFmtId="0" fontId="2" fillId="0" borderId="7" xfId="0" applyFont="1" applyBorder="1" applyAlignment="1">
      <alignment horizontal="center"/>
    </xf>
    <xf numFmtId="0" fontId="9" fillId="0" borderId="0" xfId="0" applyFont="1" applyAlignment="1">
      <alignment horizontal="right"/>
    </xf>
    <xf numFmtId="0" fontId="2" fillId="0" borderId="12" xfId="0" applyFont="1" applyBorder="1" applyAlignment="1">
      <alignment horizontal="center"/>
    </xf>
    <xf numFmtId="0" fontId="2" fillId="0" borderId="13" xfId="0" applyFont="1" applyBorder="1" applyAlignment="1">
      <alignment horizontal="center"/>
    </xf>
    <xf numFmtId="0" fontId="9" fillId="0" borderId="2" xfId="0" applyFont="1" applyBorder="1" applyAlignment="1">
      <alignment horizontal="right"/>
    </xf>
    <xf numFmtId="0" fontId="9" fillId="0" borderId="7" xfId="0" applyFont="1" applyBorder="1" applyAlignment="1">
      <alignment horizontal="right"/>
    </xf>
    <xf numFmtId="0" fontId="20" fillId="0" borderId="0" xfId="0" applyFont="1"/>
    <xf numFmtId="0" fontId="23" fillId="0" borderId="0" xfId="0" applyFont="1" applyAlignment="1">
      <alignment horizontal="left" vertical="center" wrapText="1"/>
    </xf>
    <xf numFmtId="0" fontId="18" fillId="0" borderId="0" xfId="0" applyFont="1" applyAlignment="1">
      <alignment vertical="center" wrapText="1"/>
    </xf>
    <xf numFmtId="0" fontId="18" fillId="0" borderId="0" xfId="0" applyFont="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vertical="center" wrapText="1"/>
    </xf>
    <xf numFmtId="0" fontId="20" fillId="0" borderId="0" xfId="0" applyFont="1" applyAlignment="1">
      <alignment horizontal="center"/>
    </xf>
    <xf numFmtId="0" fontId="20" fillId="0" borderId="0" xfId="0" applyFont="1" applyAlignment="1">
      <alignment horizontal="center" vertical="center" wrapText="1"/>
    </xf>
    <xf numFmtId="0" fontId="2" fillId="0" borderId="14" xfId="0" applyFont="1" applyBorder="1"/>
    <xf numFmtId="0" fontId="3" fillId="0" borderId="18" xfId="0" applyFont="1" applyBorder="1" applyAlignment="1">
      <alignment horizontal="left" vertical="center" wrapText="1" indent="1"/>
    </xf>
    <xf numFmtId="0" fontId="11" fillId="0" borderId="0" xfId="0" applyFont="1" applyAlignment="1">
      <alignment horizontal="center" vertical="center" wrapText="1"/>
    </xf>
    <xf numFmtId="0" fontId="11" fillId="0" borderId="14" xfId="0" applyFont="1" applyBorder="1" applyAlignment="1">
      <alignment horizontal="center" vertical="center" wrapText="1"/>
    </xf>
    <xf numFmtId="0" fontId="3" fillId="0" borderId="14" xfId="0" applyFont="1" applyBorder="1" applyAlignment="1">
      <alignment horizontal="left" vertical="center" wrapText="1"/>
    </xf>
    <xf numFmtId="0" fontId="3" fillId="0" borderId="0" xfId="0" applyFont="1" applyAlignment="1">
      <alignment horizontal="left" vertical="center" wrapText="1"/>
    </xf>
    <xf numFmtId="0" fontId="12" fillId="0" borderId="0" xfId="0" applyFont="1" applyAlignment="1">
      <alignment horizontal="left" vertical="center"/>
    </xf>
    <xf numFmtId="0" fontId="1" fillId="0" borderId="0" xfId="0" applyFont="1" applyAlignment="1">
      <alignment horizontal="center" vertical="center" wrapText="1"/>
    </xf>
    <xf numFmtId="0" fontId="21" fillId="0" borderId="0" xfId="0" applyFont="1" applyAlignment="1">
      <alignment horizontal="left" vertical="center" wrapText="1"/>
    </xf>
    <xf numFmtId="0" fontId="13" fillId="0" borderId="0" xfId="0" applyFont="1"/>
    <xf numFmtId="0" fontId="13" fillId="0" borderId="0" xfId="0" applyFont="1" applyAlignment="1">
      <alignment vertical="center"/>
    </xf>
    <xf numFmtId="0" fontId="16" fillId="3" borderId="0" xfId="0" applyFont="1" applyFill="1" applyAlignment="1">
      <alignment vertical="top" wrapText="1"/>
    </xf>
    <xf numFmtId="0" fontId="4" fillId="3" borderId="0" xfId="0" applyFont="1" applyFill="1" applyAlignment="1">
      <alignment vertical="center"/>
    </xf>
    <xf numFmtId="0" fontId="5" fillId="3" borderId="0" xfId="0" applyFont="1" applyFill="1"/>
    <xf numFmtId="0" fontId="6" fillId="3" borderId="0" xfId="0" applyFont="1" applyFill="1"/>
    <xf numFmtId="0" fontId="7" fillId="3" borderId="0" xfId="0" applyFont="1" applyFill="1" applyAlignment="1">
      <alignment vertical="center"/>
    </xf>
    <xf numFmtId="0" fontId="2" fillId="3" borderId="0" xfId="0" applyFont="1" applyFill="1" applyAlignment="1">
      <alignment vertical="center" wrapText="1"/>
    </xf>
    <xf numFmtId="0" fontId="8" fillId="3" borderId="0" xfId="0" applyFont="1" applyFill="1"/>
    <xf numFmtId="0" fontId="32" fillId="3" borderId="0" xfId="0" applyFont="1" applyFill="1"/>
    <xf numFmtId="0" fontId="21" fillId="3" borderId="0" xfId="0" applyFont="1" applyFill="1"/>
    <xf numFmtId="0" fontId="2" fillId="0" borderId="2" xfId="0" applyFont="1" applyBorder="1" applyAlignment="1">
      <alignment horizontal="center"/>
    </xf>
    <xf numFmtId="0" fontId="6" fillId="0" borderId="0" xfId="0" applyFont="1" applyAlignment="1">
      <alignment vertical="center"/>
    </xf>
    <xf numFmtId="0" fontId="9" fillId="0" borderId="0" xfId="0" applyFont="1" applyAlignment="1">
      <alignment horizontal="right" indent="1"/>
    </xf>
    <xf numFmtId="0" fontId="9" fillId="0" borderId="1" xfId="0" applyFont="1" applyBorder="1" applyAlignment="1">
      <alignment horizontal="right"/>
    </xf>
    <xf numFmtId="0" fontId="9" fillId="0" borderId="2"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9" fillId="0" borderId="6" xfId="0" applyFont="1" applyBorder="1" applyAlignment="1">
      <alignment vertical="center"/>
    </xf>
    <xf numFmtId="0" fontId="9" fillId="0" borderId="1" xfId="0" applyFont="1" applyBorder="1" applyAlignment="1">
      <alignment horizontal="right" indent="1"/>
    </xf>
    <xf numFmtId="0" fontId="9" fillId="0" borderId="2" xfId="0" applyFont="1" applyBorder="1" applyAlignment="1">
      <alignment vertical="center"/>
    </xf>
    <xf numFmtId="0" fontId="32" fillId="0" borderId="0" xfId="0" applyFont="1"/>
    <xf numFmtId="0" fontId="31" fillId="0" borderId="0" xfId="0" applyFont="1" applyAlignment="1">
      <alignment horizontal="center" vertical="center" wrapText="1"/>
    </xf>
    <xf numFmtId="0" fontId="26" fillId="0" borderId="0" xfId="0" applyFont="1" applyAlignment="1">
      <alignment vertical="center" wrapText="1"/>
    </xf>
    <xf numFmtId="0" fontId="26" fillId="0" borderId="0" xfId="0" applyFont="1" applyAlignment="1">
      <alignment horizontal="center" vertical="center" wrapText="1"/>
    </xf>
    <xf numFmtId="0" fontId="19" fillId="0" borderId="0" xfId="0" applyFont="1" applyAlignment="1">
      <alignment horizontal="center" vertical="center" wrapText="1"/>
    </xf>
    <xf numFmtId="0" fontId="21" fillId="0" borderId="0" xfId="0" applyFont="1"/>
    <xf numFmtId="0" fontId="18" fillId="0" borderId="0" xfId="0" applyFont="1" applyAlignment="1">
      <alignment horizontal="center" wrapText="1"/>
    </xf>
    <xf numFmtId="0" fontId="18" fillId="0" borderId="0" xfId="0" applyFont="1" applyAlignment="1">
      <alignment wrapText="1"/>
    </xf>
    <xf numFmtId="0" fontId="21" fillId="0" borderId="0" xfId="0" applyFont="1" applyAlignment="1">
      <alignment horizontal="center"/>
    </xf>
    <xf numFmtId="0" fontId="21" fillId="0" borderId="0" xfId="0" applyFont="1" applyAlignment="1">
      <alignment horizontal="center" wrapText="1"/>
    </xf>
    <xf numFmtId="0" fontId="21" fillId="0" borderId="4" xfId="0" applyFont="1" applyBorder="1" applyAlignment="1">
      <alignment horizontal="center" vertical="center" wrapText="1"/>
    </xf>
    <xf numFmtId="44" fontId="19" fillId="0" borderId="15" xfId="0" applyNumberFormat="1" applyFont="1" applyBorder="1" applyAlignment="1">
      <alignment horizontal="center" vertical="center" wrapText="1"/>
    </xf>
    <xf numFmtId="164" fontId="20" fillId="0" borderId="0" xfId="0" applyNumberFormat="1" applyFont="1" applyAlignment="1">
      <alignment horizontal="center"/>
    </xf>
    <xf numFmtId="1" fontId="19" fillId="0" borderId="0" xfId="0" applyNumberFormat="1" applyFont="1" applyAlignment="1">
      <alignment horizontal="center" vertical="center" wrapText="1"/>
    </xf>
    <xf numFmtId="44" fontId="20" fillId="0" borderId="15" xfId="0" applyNumberFormat="1" applyFont="1" applyBorder="1" applyAlignment="1">
      <alignment horizontal="center" vertical="center" wrapText="1"/>
    </xf>
    <xf numFmtId="44" fontId="19" fillId="0" borderId="0" xfId="0" applyNumberFormat="1" applyFont="1" applyAlignment="1">
      <alignment vertical="center" wrapText="1"/>
    </xf>
    <xf numFmtId="0" fontId="19" fillId="0" borderId="28" xfId="0" applyFont="1" applyBorder="1" applyAlignment="1">
      <alignment horizontal="left" vertical="center" wrapText="1"/>
    </xf>
    <xf numFmtId="0" fontId="18" fillId="0" borderId="0" xfId="0" applyFont="1" applyAlignment="1">
      <alignment horizontal="right" vertical="center" wrapText="1" indent="1"/>
    </xf>
    <xf numFmtId="44" fontId="21" fillId="0" borderId="21" xfId="0" applyNumberFormat="1" applyFont="1" applyBorder="1" applyAlignment="1">
      <alignment horizontal="center" vertical="center" wrapText="1"/>
    </xf>
    <xf numFmtId="165" fontId="20" fillId="0" borderId="15" xfId="0" applyNumberFormat="1" applyFont="1" applyBorder="1" applyAlignment="1">
      <alignment horizontal="center" vertical="center" wrapText="1"/>
    </xf>
    <xf numFmtId="0" fontId="22" fillId="0" borderId="0" xfId="0" applyFont="1"/>
    <xf numFmtId="0" fontId="0" fillId="0" borderId="0" xfId="0" applyAlignment="1">
      <alignment horizontal="right" indent="1"/>
    </xf>
    <xf numFmtId="0" fontId="0" fillId="0" borderId="57" xfId="0" applyBorder="1"/>
    <xf numFmtId="0" fontId="70" fillId="0" borderId="0" xfId="0" applyFont="1" applyAlignment="1">
      <alignment vertical="center" wrapText="1"/>
    </xf>
    <xf numFmtId="0" fontId="2" fillId="0" borderId="0" xfId="0" applyFont="1" applyAlignment="1">
      <alignment horizontal="right" vertical="center" indent="1"/>
    </xf>
    <xf numFmtId="0" fontId="2" fillId="0" borderId="10" xfId="0" applyFont="1" applyBorder="1" applyAlignment="1">
      <alignment horizontal="right" vertical="center" indent="1"/>
    </xf>
    <xf numFmtId="0" fontId="2" fillId="0" borderId="0" xfId="0" applyFont="1" applyAlignment="1">
      <alignment vertical="center"/>
    </xf>
    <xf numFmtId="0" fontId="2" fillId="0" borderId="12" xfId="0" applyFont="1" applyBorder="1" applyAlignment="1">
      <alignment horizontal="left" vertical="center" indent="1"/>
    </xf>
    <xf numFmtId="0" fontId="2" fillId="0" borderId="6" xfId="0" applyFont="1" applyBorder="1" applyAlignment="1">
      <alignment horizontal="left" vertical="center" indent="1"/>
    </xf>
    <xf numFmtId="0" fontId="2" fillId="0" borderId="0" xfId="0" applyFont="1" applyAlignment="1">
      <alignment horizontal="left" vertical="center" indent="1"/>
    </xf>
    <xf numFmtId="0" fontId="2" fillId="0" borderId="4" xfId="0" applyFont="1" applyBorder="1" applyAlignment="1">
      <alignment horizontal="left" vertical="center" indent="1"/>
    </xf>
    <xf numFmtId="0" fontId="2" fillId="0" borderId="22" xfId="0" applyFont="1" applyBorder="1" applyAlignment="1">
      <alignment horizontal="left" vertical="center"/>
    </xf>
    <xf numFmtId="0" fontId="2" fillId="0" borderId="15" xfId="0" applyFont="1" applyBorder="1" applyAlignment="1">
      <alignment horizontal="left" vertical="center"/>
    </xf>
    <xf numFmtId="0" fontId="2" fillId="0" borderId="22" xfId="0" applyFont="1" applyBorder="1" applyAlignment="1">
      <alignment vertical="center"/>
    </xf>
    <xf numFmtId="0" fontId="2" fillId="0" borderId="15" xfId="0" applyFont="1" applyBorder="1" applyAlignment="1">
      <alignment vertical="center"/>
    </xf>
    <xf numFmtId="0" fontId="2" fillId="0" borderId="0" xfId="0" applyFont="1" applyAlignment="1">
      <alignment horizontal="right" vertical="center"/>
    </xf>
    <xf numFmtId="0" fontId="3" fillId="0" borderId="0" xfId="0" applyFont="1" applyAlignment="1">
      <alignment horizontal="center" vertical="center" wrapText="1"/>
    </xf>
    <xf numFmtId="0" fontId="19" fillId="0" borderId="0" xfId="0" applyFont="1" applyAlignment="1">
      <alignment horizontal="center" vertical="top" wrapText="1"/>
    </xf>
    <xf numFmtId="0" fontId="26" fillId="0" borderId="0" xfId="0" applyFont="1" applyAlignment="1">
      <alignment horizontal="left" vertical="center" wrapText="1"/>
    </xf>
    <xf numFmtId="0" fontId="0" fillId="0" borderId="6" xfId="0" applyBorder="1"/>
    <xf numFmtId="0" fontId="29" fillId="0" borderId="0" xfId="0" applyFont="1"/>
    <xf numFmtId="0" fontId="29" fillId="0" borderId="0" xfId="0" applyFont="1" applyAlignment="1">
      <alignment horizontal="right"/>
    </xf>
    <xf numFmtId="0" fontId="2" fillId="0" borderId="1" xfId="0" applyFont="1" applyBorder="1"/>
    <xf numFmtId="0" fontId="13" fillId="0" borderId="0" xfId="0" applyFont="1" applyAlignment="1">
      <alignment horizontal="center"/>
    </xf>
    <xf numFmtId="0" fontId="13" fillId="0" borderId="0" xfId="0" applyFont="1" applyAlignment="1">
      <alignment horizontal="center" vertical="center"/>
    </xf>
    <xf numFmtId="0" fontId="0" fillId="3" borderId="0" xfId="0" applyFill="1" applyAlignment="1">
      <alignment horizontal="center"/>
    </xf>
    <xf numFmtId="0" fontId="0" fillId="3" borderId="0" xfId="0" applyFill="1" applyAlignment="1">
      <alignment vertical="center"/>
    </xf>
    <xf numFmtId="0" fontId="13" fillId="3" borderId="0" xfId="0" applyFont="1" applyFill="1" applyAlignment="1">
      <alignment horizontal="center"/>
    </xf>
    <xf numFmtId="0" fontId="13" fillId="3" borderId="0" xfId="0" applyFont="1" applyFill="1" applyAlignment="1">
      <alignment horizontal="right" vertical="center"/>
    </xf>
    <xf numFmtId="0" fontId="13" fillId="3" borderId="0" xfId="0" applyFont="1" applyFill="1" applyAlignment="1">
      <alignment horizontal="center" vertical="center"/>
    </xf>
    <xf numFmtId="0" fontId="12" fillId="3" borderId="0" xfId="0" applyFont="1" applyFill="1" applyAlignment="1">
      <alignment horizontal="center" vertical="center"/>
    </xf>
    <xf numFmtId="0" fontId="9" fillId="3" borderId="0" xfId="0" applyFont="1" applyFill="1"/>
    <xf numFmtId="0" fontId="3" fillId="0" borderId="0" xfId="0" applyFont="1" applyAlignment="1">
      <alignment horizontal="left" indent="1"/>
    </xf>
    <xf numFmtId="0" fontId="43" fillId="0" borderId="0" xfId="0" applyFont="1" applyAlignment="1">
      <alignment vertical="top" wrapText="1"/>
    </xf>
    <xf numFmtId="0" fontId="8" fillId="0" borderId="0" xfId="0" applyFont="1"/>
    <xf numFmtId="0" fontId="2" fillId="0" borderId="14" xfId="0" applyFont="1" applyBorder="1" applyAlignment="1">
      <alignment horizontal="center"/>
    </xf>
    <xf numFmtId="0" fontId="2" fillId="0" borderId="15" xfId="0" applyFont="1" applyBorder="1" applyAlignment="1" applyProtection="1">
      <alignment horizontal="center"/>
      <protection locked="0"/>
    </xf>
    <xf numFmtId="0" fontId="9" fillId="0" borderId="0" xfId="0" applyFont="1" applyAlignment="1">
      <alignment horizontal="center"/>
    </xf>
    <xf numFmtId="0" fontId="2" fillId="0" borderId="0" xfId="0" applyFont="1" applyAlignment="1">
      <alignment wrapText="1"/>
    </xf>
    <xf numFmtId="0" fontId="3" fillId="0" borderId="18" xfId="0" applyFont="1" applyBorder="1" applyAlignment="1">
      <alignment vertical="center" wrapText="1"/>
    </xf>
    <xf numFmtId="0" fontId="5"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3" fillId="0" borderId="0" xfId="0" applyFont="1" applyAlignment="1">
      <alignment vertical="center" wrapText="1"/>
    </xf>
    <xf numFmtId="0" fontId="44" fillId="0" borderId="0" xfId="0" applyFont="1" applyAlignment="1">
      <alignment horizontal="center" vertical="center" wrapText="1"/>
    </xf>
    <xf numFmtId="0" fontId="9" fillId="0" borderId="0" xfId="0" applyFont="1" applyAlignment="1">
      <alignment horizontal="center" vertical="center" wrapText="1"/>
    </xf>
    <xf numFmtId="0" fontId="2" fillId="0" borderId="0" xfId="0" applyFont="1" applyAlignment="1" applyProtection="1">
      <alignment horizontal="center"/>
      <protection locked="0"/>
    </xf>
    <xf numFmtId="0" fontId="46" fillId="0" borderId="0" xfId="0" applyFont="1" applyAlignment="1">
      <alignment horizontal="center" vertical="center" wrapText="1"/>
    </xf>
    <xf numFmtId="0" fontId="47" fillId="0" borderId="0" xfId="0" applyFont="1" applyAlignment="1">
      <alignment horizontal="center" vertical="center" wrapText="1"/>
    </xf>
    <xf numFmtId="0" fontId="44" fillId="0" borderId="0" xfId="0" applyFont="1" applyAlignment="1">
      <alignment horizontal="center" vertical="top" wrapText="1"/>
    </xf>
    <xf numFmtId="0" fontId="3" fillId="0" borderId="17" xfId="0" applyFont="1" applyBorder="1" applyAlignment="1">
      <alignment horizontal="center" vertical="center" wrapText="1"/>
    </xf>
    <xf numFmtId="0" fontId="45" fillId="0" borderId="0" xfId="0" applyFont="1" applyAlignment="1">
      <alignment wrapText="1"/>
    </xf>
    <xf numFmtId="0" fontId="45" fillId="0" borderId="0" xfId="0" applyFont="1" applyAlignment="1">
      <alignment vertical="center" wrapText="1"/>
    </xf>
    <xf numFmtId="0" fontId="48" fillId="0" borderId="41" xfId="0" applyFont="1" applyBorder="1" applyAlignment="1">
      <alignment horizontal="left" vertical="center" wrapText="1"/>
    </xf>
    <xf numFmtId="0" fontId="48" fillId="0" borderId="14" xfId="0" applyFont="1" applyBorder="1" applyAlignment="1">
      <alignment horizontal="left" vertical="center" wrapText="1"/>
    </xf>
    <xf numFmtId="0" fontId="48" fillId="0" borderId="42" xfId="0" applyFont="1" applyBorder="1" applyAlignment="1">
      <alignment horizontal="center" vertical="center" wrapText="1"/>
    </xf>
    <xf numFmtId="0" fontId="49" fillId="0" borderId="2" xfId="0" applyFont="1" applyBorder="1" applyAlignment="1">
      <alignment vertical="top" wrapText="1"/>
    </xf>
    <xf numFmtId="0" fontId="49" fillId="0" borderId="0" xfId="0" applyFont="1" applyAlignment="1">
      <alignment vertical="top" wrapText="1"/>
    </xf>
    <xf numFmtId="0" fontId="49" fillId="0" borderId="1" xfId="0" applyFont="1" applyBorder="1" applyAlignment="1">
      <alignment vertical="top" wrapText="1"/>
    </xf>
    <xf numFmtId="0" fontId="50" fillId="0" borderId="30" xfId="0" applyFont="1" applyBorder="1" applyAlignment="1">
      <alignment horizontal="center" vertical="top" wrapText="1"/>
    </xf>
    <xf numFmtId="0" fontId="50" fillId="0" borderId="31" xfId="0" applyFont="1" applyBorder="1" applyAlignment="1">
      <alignment horizontal="center" vertical="top" wrapText="1"/>
    </xf>
    <xf numFmtId="0" fontId="50" fillId="0" borderId="32" xfId="0" applyFont="1" applyBorder="1" applyAlignment="1">
      <alignment horizontal="center" vertical="top" wrapText="1"/>
    </xf>
    <xf numFmtId="0" fontId="51" fillId="0" borderId="1" xfId="0" applyFont="1" applyBorder="1" applyAlignment="1">
      <alignment horizontal="center" vertical="center" wrapText="1"/>
    </xf>
    <xf numFmtId="0" fontId="49" fillId="0" borderId="34" xfId="0" applyFont="1" applyBorder="1" applyAlignment="1">
      <alignment horizontal="center" vertical="center" wrapText="1"/>
    </xf>
    <xf numFmtId="0" fontId="2" fillId="0" borderId="0" xfId="0" applyFont="1" applyAlignment="1" applyProtection="1">
      <alignment horizontal="center" vertical="center"/>
      <protection locked="0"/>
    </xf>
    <xf numFmtId="44" fontId="49" fillId="0" borderId="37" xfId="0" applyNumberFormat="1" applyFont="1" applyBorder="1" applyAlignment="1">
      <alignment horizontal="center" vertical="center" wrapText="1"/>
    </xf>
    <xf numFmtId="0" fontId="49" fillId="0" borderId="0" xfId="0" applyFont="1" applyAlignment="1">
      <alignment vertical="center" wrapText="1"/>
    </xf>
    <xf numFmtId="0" fontId="52" fillId="0" borderId="2" xfId="0" applyFont="1" applyBorder="1" applyAlignment="1">
      <alignment horizontal="right" vertical="center" wrapText="1"/>
    </xf>
    <xf numFmtId="0" fontId="52" fillId="0" borderId="0" xfId="0" applyFont="1" applyAlignment="1">
      <alignment horizontal="right" vertical="center" wrapText="1"/>
    </xf>
    <xf numFmtId="44" fontId="49" fillId="0" borderId="0" xfId="0" applyNumberFormat="1" applyFont="1" applyAlignment="1">
      <alignment horizontal="center" vertical="center" wrapText="1"/>
    </xf>
    <xf numFmtId="0" fontId="51" fillId="0" borderId="0" xfId="0" applyFont="1" applyAlignment="1">
      <alignment vertical="center" wrapText="1"/>
    </xf>
    <xf numFmtId="0" fontId="0" fillId="0" borderId="0" xfId="0" applyAlignment="1">
      <alignment horizontal="left"/>
    </xf>
    <xf numFmtId="0" fontId="3" fillId="0" borderId="14" xfId="0" applyFont="1" applyBorder="1" applyAlignment="1">
      <alignment horizontal="center" vertical="center" wrapText="1"/>
    </xf>
    <xf numFmtId="0" fontId="50" fillId="0" borderId="4" xfId="0" applyFont="1" applyBorder="1" applyAlignment="1">
      <alignment horizontal="left" vertical="top" wrapText="1"/>
    </xf>
    <xf numFmtId="0" fontId="49" fillId="0" borderId="4" xfId="0" applyFont="1" applyBorder="1" applyAlignment="1">
      <alignment vertical="top" wrapText="1"/>
    </xf>
    <xf numFmtId="0" fontId="51" fillId="0" borderId="4" xfId="0" applyFont="1" applyBorder="1" applyAlignment="1">
      <alignment vertical="center" wrapText="1"/>
    </xf>
    <xf numFmtId="0" fontId="51" fillId="0" borderId="4" xfId="0" applyFont="1" applyBorder="1" applyAlignment="1">
      <alignment horizontal="center" vertical="center" wrapText="1"/>
    </xf>
    <xf numFmtId="0" fontId="13" fillId="0" borderId="0" xfId="0" applyFont="1" applyAlignment="1">
      <alignment horizontal="right" indent="1"/>
    </xf>
    <xf numFmtId="0" fontId="13" fillId="0" borderId="0" xfId="0" applyFont="1" applyAlignment="1">
      <alignment horizontal="left"/>
    </xf>
    <xf numFmtId="0" fontId="14" fillId="0" borderId="0" xfId="0" applyFont="1" applyAlignment="1">
      <alignment horizontal="right"/>
    </xf>
    <xf numFmtId="0" fontId="13" fillId="0" borderId="0" xfId="0" applyFont="1" applyAlignment="1">
      <alignment horizontal="right"/>
    </xf>
    <xf numFmtId="0" fontId="13" fillId="0" borderId="15" xfId="0" applyFont="1" applyBorder="1" applyAlignment="1">
      <alignment horizontal="right"/>
    </xf>
    <xf numFmtId="0" fontId="13" fillId="0" borderId="0" xfId="0" applyFont="1" applyAlignment="1">
      <alignment horizontal="right" vertical="center" indent="1"/>
    </xf>
    <xf numFmtId="0" fontId="13" fillId="0" borderId="0" xfId="0" applyFont="1" applyAlignment="1">
      <alignment horizontal="right" vertical="center"/>
    </xf>
    <xf numFmtId="0" fontId="59" fillId="0" borderId="0" xfId="0" applyFont="1" applyAlignment="1">
      <alignment horizontal="center" wrapText="1"/>
    </xf>
    <xf numFmtId="0" fontId="58" fillId="0" borderId="0" xfId="0" applyFont="1" applyAlignment="1">
      <alignment wrapText="1"/>
    </xf>
    <xf numFmtId="0" fontId="60" fillId="0" borderId="0" xfId="0" applyFont="1"/>
    <xf numFmtId="0" fontId="61" fillId="0" borderId="0" xfId="0" applyFont="1" applyAlignment="1">
      <alignment wrapText="1"/>
    </xf>
    <xf numFmtId="0" fontId="3" fillId="0" borderId="1" xfId="0" applyFont="1" applyBorder="1" applyAlignment="1">
      <alignment horizontal="left" indent="1"/>
    </xf>
    <xf numFmtId="0" fontId="2" fillId="0" borderId="2" xfId="0" applyFont="1" applyBorder="1"/>
    <xf numFmtId="0" fontId="2" fillId="0" borderId="6" xfId="0" applyFont="1" applyBorder="1" applyAlignment="1">
      <alignment horizontal="center"/>
    </xf>
    <xf numFmtId="0" fontId="56" fillId="0" borderId="0" xfId="0" applyFont="1" applyAlignment="1">
      <alignment horizontal="left" vertical="center" wrapText="1"/>
    </xf>
    <xf numFmtId="0" fontId="44" fillId="0" borderId="0" xfId="0" applyFont="1" applyAlignment="1">
      <alignment vertical="center" wrapText="1"/>
    </xf>
    <xf numFmtId="0" fontId="45" fillId="0" borderId="22" xfId="0" applyFont="1" applyBorder="1" applyAlignment="1">
      <alignment wrapText="1"/>
    </xf>
    <xf numFmtId="0" fontId="44" fillId="0" borderId="0" xfId="0" applyFont="1" applyAlignment="1">
      <alignment wrapText="1"/>
    </xf>
    <xf numFmtId="0" fontId="53" fillId="0" borderId="0" xfId="0" applyFont="1" applyAlignment="1">
      <alignment horizontal="right" indent="1"/>
    </xf>
    <xf numFmtId="0" fontId="53" fillId="0" borderId="0" xfId="0" applyFont="1" applyAlignment="1">
      <alignment horizontal="right"/>
    </xf>
    <xf numFmtId="0" fontId="37" fillId="0" borderId="33" xfId="0" applyFont="1" applyBorder="1" applyAlignment="1">
      <alignment vertical="center" wrapText="1"/>
    </xf>
    <xf numFmtId="0" fontId="37" fillId="0" borderId="15" xfId="0" applyFont="1" applyBorder="1" applyAlignment="1">
      <alignment vertical="center" wrapText="1"/>
    </xf>
    <xf numFmtId="0" fontId="37" fillId="0" borderId="34" xfId="0" applyFont="1" applyBorder="1" applyAlignment="1">
      <alignment vertical="center" wrapText="1"/>
    </xf>
    <xf numFmtId="0" fontId="37" fillId="0" borderId="35" xfId="0" applyFont="1" applyBorder="1" applyAlignment="1">
      <alignment vertical="center" wrapText="1"/>
    </xf>
    <xf numFmtId="0" fontId="37" fillId="0" borderId="36" xfId="0" applyFont="1" applyBorder="1" applyAlignment="1">
      <alignment vertical="center" wrapText="1"/>
    </xf>
    <xf numFmtId="0" fontId="37" fillId="0" borderId="37" xfId="0" applyFont="1" applyBorder="1" applyAlignment="1">
      <alignment vertical="center" wrapText="1"/>
    </xf>
    <xf numFmtId="0" fontId="39" fillId="0" borderId="0" xfId="0" applyFont="1" applyAlignment="1">
      <alignment vertical="center"/>
    </xf>
    <xf numFmtId="0" fontId="71" fillId="5" borderId="30" xfId="0" applyFont="1" applyFill="1" applyBorder="1" applyAlignment="1">
      <alignment horizontal="center" vertical="center" wrapText="1"/>
    </xf>
    <xf numFmtId="0" fontId="71" fillId="5" borderId="31" xfId="0" applyFont="1" applyFill="1" applyBorder="1" applyAlignment="1">
      <alignment horizontal="center" vertical="center" wrapText="1"/>
    </xf>
    <xf numFmtId="0" fontId="71" fillId="5" borderId="32" xfId="0" applyFont="1" applyFill="1" applyBorder="1" applyAlignment="1">
      <alignment horizontal="center" vertical="center" wrapText="1"/>
    </xf>
    <xf numFmtId="0" fontId="2" fillId="0" borderId="0" xfId="0" applyFont="1" applyAlignment="1" applyProtection="1">
      <alignment vertical="center"/>
      <protection locked="0"/>
    </xf>
    <xf numFmtId="0" fontId="9" fillId="0" borderId="0" xfId="0" applyFont="1" applyAlignment="1">
      <alignment vertical="center" wrapText="1"/>
    </xf>
    <xf numFmtId="0" fontId="47" fillId="0" borderId="0" xfId="0" applyFont="1" applyAlignment="1">
      <alignment vertical="center" wrapText="1"/>
    </xf>
    <xf numFmtId="0" fontId="14" fillId="3" borderId="0" xfId="0" applyFont="1" applyFill="1" applyAlignment="1">
      <alignment vertical="center"/>
    </xf>
    <xf numFmtId="0" fontId="9" fillId="0" borderId="0" xfId="0" applyFont="1"/>
    <xf numFmtId="0" fontId="74" fillId="0" borderId="66" xfId="0" applyFont="1" applyBorder="1" applyAlignment="1">
      <alignment horizontal="center" vertical="center"/>
    </xf>
    <xf numFmtId="0" fontId="75" fillId="0" borderId="67" xfId="0" applyFont="1" applyBorder="1" applyAlignment="1">
      <alignment horizontal="center" vertical="center" wrapText="1"/>
    </xf>
    <xf numFmtId="0" fontId="2" fillId="0" borderId="69" xfId="0" applyFont="1" applyBorder="1" applyAlignment="1">
      <alignment horizontal="center" vertical="top"/>
    </xf>
    <xf numFmtId="1" fontId="2" fillId="0" borderId="15" xfId="0" applyNumberFormat="1" applyFont="1" applyBorder="1" applyAlignment="1" applyProtection="1">
      <alignment horizontal="center" vertical="top"/>
      <protection locked="0"/>
    </xf>
    <xf numFmtId="0" fontId="2" fillId="0" borderId="71" xfId="0" applyFont="1" applyBorder="1" applyAlignment="1">
      <alignment horizontal="center" vertical="top"/>
    </xf>
    <xf numFmtId="1" fontId="2" fillId="0" borderId="72" xfId="0" applyNumberFormat="1" applyFont="1" applyBorder="1" applyAlignment="1" applyProtection="1">
      <alignment horizontal="left" vertical="top"/>
      <protection locked="0"/>
    </xf>
    <xf numFmtId="0" fontId="75" fillId="0" borderId="31" xfId="0" applyFont="1" applyBorder="1" applyAlignment="1">
      <alignment horizontal="center" vertical="center" wrapText="1"/>
    </xf>
    <xf numFmtId="0" fontId="75" fillId="0" borderId="77" xfId="0" applyFont="1" applyBorder="1" applyAlignment="1">
      <alignment horizontal="center" vertical="center" wrapText="1"/>
    </xf>
    <xf numFmtId="0" fontId="14" fillId="0" borderId="0" xfId="0" applyFont="1" applyAlignment="1">
      <alignment vertical="center"/>
    </xf>
    <xf numFmtId="0" fontId="59" fillId="0" borderId="0" xfId="0" applyFont="1" applyAlignment="1">
      <alignment horizontal="left" vertical="center" wrapText="1"/>
    </xf>
    <xf numFmtId="0" fontId="77" fillId="0" borderId="0" xfId="0" applyFont="1" applyAlignment="1">
      <alignment vertical="center" wrapText="1"/>
    </xf>
    <xf numFmtId="0" fontId="78" fillId="0" borderId="0" xfId="0" applyFont="1" applyAlignment="1">
      <alignment vertical="center" wrapText="1"/>
    </xf>
    <xf numFmtId="0" fontId="0" fillId="3" borderId="0" xfId="0" applyFill="1" applyAlignment="1">
      <alignment wrapText="1"/>
    </xf>
    <xf numFmtId="0" fontId="78" fillId="0" borderId="15" xfId="0" applyFont="1" applyBorder="1" applyAlignment="1">
      <alignment vertical="center" wrapText="1"/>
    </xf>
    <xf numFmtId="0" fontId="81" fillId="0" borderId="0" xfId="0" applyFont="1" applyAlignment="1">
      <alignment horizontal="right" vertical="center" wrapText="1" indent="1"/>
    </xf>
    <xf numFmtId="0" fontId="78" fillId="0" borderId="0" xfId="0" applyFont="1" applyAlignment="1">
      <alignment horizontal="right" vertical="center" wrapText="1"/>
    </xf>
    <xf numFmtId="0" fontId="78" fillId="0" borderId="0" xfId="0" applyFont="1" applyAlignment="1">
      <alignment horizontal="right" vertical="center" wrapText="1" indent="1"/>
    </xf>
    <xf numFmtId="0" fontId="83" fillId="0" borderId="0" xfId="0" applyFont="1" applyAlignment="1">
      <alignment horizontal="center" vertical="center" wrapText="1"/>
    </xf>
    <xf numFmtId="0" fontId="45" fillId="0" borderId="0" xfId="0" applyFont="1" applyAlignment="1">
      <alignment horizontal="left" vertical="top" wrapText="1"/>
    </xf>
    <xf numFmtId="0" fontId="45"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wrapText="1"/>
    </xf>
    <xf numFmtId="0" fontId="2" fillId="0" borderId="0" xfId="0" applyFont="1" applyAlignment="1">
      <alignment horizontal="left"/>
    </xf>
    <xf numFmtId="0" fontId="9" fillId="0" borderId="0" xfId="0" applyFont="1" applyAlignment="1">
      <alignment horizontal="center" vertical="top" wrapText="1"/>
    </xf>
    <xf numFmtId="0" fontId="19" fillId="0" borderId="0" xfId="0" applyFont="1" applyAlignment="1">
      <alignment vertical="top" wrapText="1"/>
    </xf>
    <xf numFmtId="0" fontId="21" fillId="0" borderId="0" xfId="0" applyFont="1" applyAlignment="1">
      <alignment horizontal="right"/>
    </xf>
    <xf numFmtId="0" fontId="75" fillId="0" borderId="64" xfId="0" applyFont="1" applyBorder="1" applyAlignment="1">
      <alignment vertical="center" wrapText="1"/>
    </xf>
    <xf numFmtId="165" fontId="2" fillId="0" borderId="64" xfId="0" applyNumberFormat="1" applyFont="1" applyBorder="1" applyAlignment="1" applyProtection="1">
      <alignment vertical="top"/>
      <protection locked="0"/>
    </xf>
    <xf numFmtId="0" fontId="73" fillId="0" borderId="88" xfId="0" applyFont="1" applyBorder="1" applyAlignment="1">
      <alignment vertical="center"/>
    </xf>
    <xf numFmtId="166" fontId="2" fillId="0" borderId="72" xfId="0" applyNumberFormat="1" applyFont="1" applyBorder="1" applyAlignment="1" applyProtection="1">
      <alignment horizontal="center" vertical="top"/>
      <protection locked="0"/>
    </xf>
    <xf numFmtId="0" fontId="75" fillId="0" borderId="76" xfId="0" applyFont="1" applyBorder="1" applyAlignment="1">
      <alignment horizontal="center" vertical="center" wrapText="1"/>
    </xf>
    <xf numFmtId="0" fontId="75" fillId="0" borderId="64" xfId="0" applyFont="1" applyBorder="1" applyAlignment="1">
      <alignment horizontal="center" vertical="center" wrapText="1"/>
    </xf>
    <xf numFmtId="0" fontId="73" fillId="0" borderId="64" xfId="0" applyFont="1" applyBorder="1" applyAlignment="1">
      <alignment horizontal="center" vertical="center"/>
    </xf>
    <xf numFmtId="166" fontId="2" fillId="0" borderId="64" xfId="0" applyNumberFormat="1" applyFont="1" applyBorder="1" applyAlignment="1" applyProtection="1">
      <alignment horizontal="center" vertical="top"/>
      <protection locked="0"/>
    </xf>
    <xf numFmtId="0" fontId="75" fillId="0" borderId="90" xfId="0" applyFont="1" applyBorder="1" applyAlignment="1">
      <alignment horizontal="center" vertical="center" wrapText="1"/>
    </xf>
    <xf numFmtId="166" fontId="2" fillId="0" borderId="90" xfId="0" applyNumberFormat="1" applyFont="1" applyBorder="1" applyAlignment="1" applyProtection="1">
      <alignment horizontal="center" vertical="top"/>
      <protection locked="0"/>
    </xf>
    <xf numFmtId="9" fontId="2" fillId="0" borderId="70" xfId="0" applyNumberFormat="1" applyFont="1" applyBorder="1" applyAlignment="1" applyProtection="1">
      <alignment horizontal="center" vertical="top"/>
      <protection locked="0"/>
    </xf>
    <xf numFmtId="9" fontId="2" fillId="0" borderId="73" xfId="0" applyNumberFormat="1" applyFont="1" applyBorder="1" applyAlignment="1" applyProtection="1">
      <alignment horizontal="center" vertical="top"/>
      <protection locked="0"/>
    </xf>
    <xf numFmtId="9" fontId="2" fillId="0" borderId="69" xfId="0" applyNumberFormat="1" applyFont="1" applyBorder="1" applyAlignment="1" applyProtection="1">
      <alignment horizontal="center" vertical="top"/>
      <protection locked="0"/>
    </xf>
    <xf numFmtId="9" fontId="2" fillId="0" borderId="71" xfId="0" applyNumberFormat="1" applyFont="1" applyBorder="1" applyAlignment="1" applyProtection="1">
      <alignment horizontal="center" vertical="top"/>
      <protection locked="0"/>
    </xf>
    <xf numFmtId="0" fontId="2"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75" fillId="0" borderId="91" xfId="0" applyFont="1" applyBorder="1" applyAlignment="1">
      <alignment horizontal="center" vertical="center" wrapText="1"/>
    </xf>
    <xf numFmtId="0" fontId="75" fillId="0" borderId="92" xfId="0" applyFont="1" applyBorder="1" applyAlignment="1">
      <alignment horizontal="center" vertical="center" wrapText="1"/>
    </xf>
    <xf numFmtId="9" fontId="2" fillId="0" borderId="93" xfId="0" applyNumberFormat="1" applyFont="1" applyBorder="1" applyAlignment="1" applyProtection="1">
      <alignment horizontal="center" vertical="top"/>
      <protection locked="0"/>
    </xf>
    <xf numFmtId="9" fontId="2" fillId="0" borderId="94" xfId="0" applyNumberFormat="1" applyFont="1" applyBorder="1" applyAlignment="1" applyProtection="1">
      <alignment horizontal="center" vertical="top"/>
      <protection locked="0"/>
    </xf>
    <xf numFmtId="9" fontId="2" fillId="0" borderId="95" xfId="0" applyNumberFormat="1" applyFont="1" applyBorder="1" applyAlignment="1" applyProtection="1">
      <alignment horizontal="center" vertical="top"/>
      <protection locked="0"/>
    </xf>
    <xf numFmtId="9" fontId="2" fillId="0" borderId="96" xfId="0" applyNumberFormat="1" applyFont="1" applyBorder="1" applyAlignment="1" applyProtection="1">
      <alignment horizontal="center" vertical="top"/>
      <protection locked="0"/>
    </xf>
    <xf numFmtId="0" fontId="9" fillId="0" borderId="0" xfId="0" applyFont="1" applyAlignment="1">
      <alignment horizontal="right" vertical="top"/>
    </xf>
    <xf numFmtId="0" fontId="91" fillId="0" borderId="0" xfId="0" applyFont="1" applyAlignment="1">
      <alignment horizontal="right"/>
    </xf>
    <xf numFmtId="0" fontId="92" fillId="0" borderId="0" xfId="0" applyFont="1" applyAlignment="1">
      <alignment horizontal="center"/>
    </xf>
    <xf numFmtId="0" fontId="92" fillId="0" borderId="0" xfId="0" applyFont="1"/>
    <xf numFmtId="0" fontId="92" fillId="0" borderId="0" xfId="0" applyFont="1" applyAlignment="1">
      <alignment horizontal="left" vertical="top" wrapText="1"/>
    </xf>
    <xf numFmtId="0" fontId="0" fillId="4" borderId="0" xfId="0" applyFill="1"/>
    <xf numFmtId="0" fontId="0" fillId="4" borderId="0" xfId="0" applyFill="1" applyAlignment="1">
      <alignment horizontal="left" indent="1"/>
    </xf>
    <xf numFmtId="0" fontId="10" fillId="0" borderId="0" xfId="0" applyFont="1" applyAlignment="1">
      <alignment vertical="center" wrapText="1"/>
    </xf>
    <xf numFmtId="0" fontId="13" fillId="0" borderId="97" xfId="0" applyFont="1" applyBorder="1" applyAlignment="1">
      <alignment horizontal="right" indent="1"/>
    </xf>
    <xf numFmtId="0" fontId="19" fillId="0" borderId="0" xfId="0" applyFont="1" applyAlignment="1">
      <alignment horizontal="justify" vertical="top" wrapText="1"/>
    </xf>
    <xf numFmtId="0" fontId="0" fillId="0" borderId="0" xfId="0" applyAlignment="1">
      <alignment horizontal="justify"/>
    </xf>
    <xf numFmtId="0" fontId="2" fillId="0" borderId="10" xfId="0" applyFont="1" applyBorder="1" applyAlignment="1">
      <alignment vertical="center"/>
    </xf>
    <xf numFmtId="0" fontId="73" fillId="0" borderId="0" xfId="0" applyFont="1" applyAlignment="1">
      <alignment vertical="center"/>
    </xf>
    <xf numFmtId="0" fontId="73" fillId="0" borderId="0" xfId="0" applyFont="1" applyAlignment="1">
      <alignment horizontal="center" vertical="center"/>
    </xf>
    <xf numFmtId="0" fontId="75" fillId="0" borderId="0" xfId="0" applyFont="1" applyAlignment="1">
      <alignment horizontal="center" vertical="center" wrapText="1"/>
    </xf>
    <xf numFmtId="166" fontId="2" fillId="0" borderId="0" xfId="0" applyNumberFormat="1" applyFont="1" applyAlignment="1" applyProtection="1">
      <alignment horizontal="center" vertical="top"/>
      <protection locked="0"/>
    </xf>
    <xf numFmtId="9" fontId="2" fillId="0" borderId="0" xfId="0" applyNumberFormat="1" applyFont="1" applyAlignment="1" applyProtection="1">
      <alignment horizontal="center" vertical="top"/>
      <protection locked="0"/>
    </xf>
    <xf numFmtId="166" fontId="2" fillId="0" borderId="0" xfId="0" applyNumberFormat="1" applyFont="1" applyAlignment="1" applyProtection="1">
      <alignment vertical="top"/>
      <protection locked="0"/>
    </xf>
    <xf numFmtId="0" fontId="75" fillId="0" borderId="0" xfId="0" applyFont="1" applyAlignment="1">
      <alignment vertical="center" wrapText="1"/>
    </xf>
    <xf numFmtId="0" fontId="73" fillId="0" borderId="0" xfId="0" applyFont="1" applyAlignment="1">
      <alignment vertical="center" wrapText="1"/>
    </xf>
    <xf numFmtId="165" fontId="2" fillId="0" borderId="0" xfId="0" applyNumberFormat="1" applyFont="1" applyAlignment="1" applyProtection="1">
      <alignment vertical="top"/>
      <protection locked="0"/>
    </xf>
    <xf numFmtId="14" fontId="2" fillId="0" borderId="15" xfId="0" applyNumberFormat="1" applyFont="1" applyBorder="1" applyAlignment="1" applyProtection="1">
      <alignment horizontal="center" vertical="top"/>
      <protection locked="0"/>
    </xf>
    <xf numFmtId="0" fontId="2" fillId="0" borderId="0" xfId="0" applyFont="1" applyAlignment="1">
      <alignment horizontal="center" vertical="top"/>
    </xf>
    <xf numFmtId="1" fontId="2" fillId="0" borderId="0" xfId="0" applyNumberFormat="1" applyFont="1" applyAlignment="1" applyProtection="1">
      <alignment horizontal="center" vertical="top"/>
      <protection locked="0"/>
    </xf>
    <xf numFmtId="14" fontId="2" fillId="0" borderId="0" xfId="0" applyNumberFormat="1" applyFont="1" applyAlignment="1" applyProtection="1">
      <alignment horizontal="center" vertical="top"/>
      <protection locked="0"/>
    </xf>
    <xf numFmtId="14" fontId="2" fillId="0" borderId="0" xfId="0" applyNumberFormat="1" applyFont="1" applyAlignment="1" applyProtection="1">
      <alignment vertical="top"/>
      <protection locked="0"/>
    </xf>
    <xf numFmtId="14" fontId="2" fillId="0" borderId="34" xfId="0" applyNumberFormat="1" applyFont="1" applyBorder="1" applyAlignment="1" applyProtection="1">
      <alignment horizontal="center" vertical="top"/>
      <protection locked="0"/>
    </xf>
    <xf numFmtId="14" fontId="2" fillId="0" borderId="100" xfId="0" applyNumberFormat="1" applyFont="1" applyBorder="1" applyAlignment="1" applyProtection="1">
      <alignment horizontal="center" vertical="top"/>
      <protection locked="0"/>
    </xf>
    <xf numFmtId="14" fontId="2" fillId="0" borderId="72" xfId="0" applyNumberFormat="1" applyFont="1" applyBorder="1" applyAlignment="1" applyProtection="1">
      <alignment horizontal="center" vertical="top"/>
      <protection locked="0"/>
    </xf>
    <xf numFmtId="0" fontId="18" fillId="0" borderId="4" xfId="0" applyFont="1" applyBorder="1" applyAlignment="1">
      <alignment horizontal="center" vertical="center" wrapText="1"/>
    </xf>
    <xf numFmtId="0" fontId="73" fillId="0" borderId="4" xfId="0" applyFont="1" applyBorder="1" applyAlignment="1">
      <alignment vertical="center" wrapText="1"/>
    </xf>
    <xf numFmtId="0" fontId="9" fillId="0" borderId="22" xfId="0" applyFont="1" applyBorder="1" applyAlignment="1">
      <alignment vertical="center"/>
    </xf>
    <xf numFmtId="0" fontId="98" fillId="0" borderId="1" xfId="0" applyFont="1" applyBorder="1" applyAlignment="1">
      <alignment horizontal="center" vertical="top" wrapText="1"/>
    </xf>
    <xf numFmtId="0" fontId="98" fillId="0" borderId="1" xfId="0" applyFont="1" applyBorder="1" applyAlignment="1">
      <alignment vertical="top" wrapText="1"/>
    </xf>
    <xf numFmtId="0" fontId="98" fillId="0" borderId="0" xfId="0" applyFont="1" applyAlignment="1">
      <alignment vertical="top" wrapText="1"/>
    </xf>
    <xf numFmtId="0" fontId="59" fillId="0" borderId="0" xfId="0" applyFont="1" applyAlignment="1">
      <alignment vertical="center" wrapText="1"/>
    </xf>
    <xf numFmtId="0" fontId="59" fillId="0" borderId="2" xfId="0" applyFont="1" applyBorder="1" applyAlignment="1">
      <alignment vertical="center" wrapText="1"/>
    </xf>
    <xf numFmtId="0" fontId="78" fillId="0" borderId="0" xfId="0" applyFont="1" applyAlignment="1">
      <alignment horizontal="center" vertical="center" wrapText="1"/>
    </xf>
    <xf numFmtId="14" fontId="2" fillId="0" borderId="67" xfId="0" applyNumberFormat="1" applyFont="1" applyBorder="1" applyAlignment="1" applyProtection="1">
      <alignment horizontal="center" vertical="top"/>
      <protection locked="0"/>
    </xf>
    <xf numFmtId="14" fontId="2" fillId="0" borderId="101" xfId="0" applyNumberFormat="1" applyFont="1" applyBorder="1" applyAlignment="1" applyProtection="1">
      <alignment horizontal="center" vertical="top"/>
      <protection locked="0"/>
    </xf>
    <xf numFmtId="0" fontId="75" fillId="0" borderId="21" xfId="0" applyFont="1" applyBorder="1" applyAlignment="1">
      <alignment horizontal="center" vertical="center" wrapText="1"/>
    </xf>
    <xf numFmtId="0" fontId="100" fillId="0" borderId="0" xfId="0" applyFont="1" applyAlignment="1">
      <alignment horizontal="left" vertical="center"/>
    </xf>
    <xf numFmtId="0" fontId="101" fillId="0" borderId="0" xfId="0" applyFont="1"/>
    <xf numFmtId="0" fontId="59" fillId="0" borderId="57" xfId="0" applyFont="1" applyBorder="1" applyAlignment="1">
      <alignment horizontal="left" vertical="center" wrapText="1"/>
    </xf>
    <xf numFmtId="0" fontId="59" fillId="0" borderId="113" xfId="0" applyFont="1" applyBorder="1" applyAlignment="1">
      <alignment horizontal="left" vertical="center" wrapText="1"/>
    </xf>
    <xf numFmtId="14" fontId="81" fillId="0" borderId="114" xfId="0" applyNumberFormat="1" applyFont="1" applyBorder="1" applyAlignment="1">
      <alignment horizontal="center" vertical="center" wrapText="1"/>
    </xf>
    <xf numFmtId="0" fontId="0" fillId="3" borderId="0" xfId="0" applyFill="1" applyAlignment="1">
      <alignment vertical="top"/>
    </xf>
    <xf numFmtId="0" fontId="84" fillId="3" borderId="0" xfId="0" applyFont="1" applyFill="1"/>
    <xf numFmtId="44" fontId="2" fillId="0" borderId="15" xfId="0" applyNumberFormat="1" applyFont="1" applyBorder="1" applyAlignment="1" applyProtection="1">
      <alignment horizontal="center" vertical="center" wrapText="1"/>
      <protection locked="0"/>
    </xf>
    <xf numFmtId="10" fontId="2" fillId="0" borderId="15" xfId="0" applyNumberFormat="1" applyFont="1" applyBorder="1" applyAlignment="1" applyProtection="1">
      <alignment horizontal="center" vertical="center" wrapText="1"/>
      <protection locked="0"/>
    </xf>
    <xf numFmtId="0" fontId="2" fillId="0" borderId="15" xfId="0" applyFont="1" applyBorder="1" applyAlignment="1" applyProtection="1">
      <alignment horizontal="center" vertical="center"/>
      <protection locked="0"/>
    </xf>
    <xf numFmtId="14" fontId="2" fillId="0" borderId="15" xfId="0" applyNumberFormat="1" applyFont="1" applyBorder="1" applyAlignment="1" applyProtection="1">
      <alignment horizontal="center"/>
      <protection locked="0"/>
    </xf>
    <xf numFmtId="0" fontId="0" fillId="0" borderId="4" xfId="0" applyBorder="1" applyProtection="1">
      <protection locked="0"/>
    </xf>
    <xf numFmtId="0" fontId="11" fillId="0" borderId="1" xfId="0" applyFont="1" applyBorder="1" applyAlignment="1">
      <alignment horizontal="center" vertical="center" wrapText="1"/>
    </xf>
    <xf numFmtId="0" fontId="22" fillId="3" borderId="0" xfId="0" applyFont="1" applyFill="1" applyAlignment="1">
      <alignment horizontal="center"/>
    </xf>
    <xf numFmtId="0" fontId="0" fillId="11" borderId="0" xfId="0" applyFill="1"/>
    <xf numFmtId="0" fontId="85" fillId="7" borderId="0" xfId="0" applyFont="1" applyFill="1" applyAlignment="1">
      <alignment vertical="center" wrapText="1"/>
    </xf>
    <xf numFmtId="0" fontId="2" fillId="0" borderId="0" xfId="0" applyFont="1" applyAlignment="1">
      <alignment vertical="center" wrapText="1"/>
    </xf>
    <xf numFmtId="1" fontId="19" fillId="13" borderId="15" xfId="0" applyNumberFormat="1" applyFont="1" applyFill="1" applyBorder="1" applyAlignment="1" applyProtection="1">
      <alignment horizontal="center" vertical="center" wrapText="1"/>
      <protection locked="0"/>
    </xf>
    <xf numFmtId="0" fontId="19" fillId="13" borderId="15" xfId="0" applyFont="1" applyFill="1" applyBorder="1" applyAlignment="1" applyProtection="1">
      <alignment vertical="center" wrapText="1"/>
      <protection locked="0"/>
    </xf>
    <xf numFmtId="44" fontId="19" fillId="0" borderId="15" xfId="0" applyNumberFormat="1" applyFont="1" applyBorder="1" applyAlignment="1" applyProtection="1">
      <alignment horizontal="center" vertical="center" wrapText="1"/>
      <protection locked="0"/>
    </xf>
    <xf numFmtId="0" fontId="2" fillId="0" borderId="15" xfId="0" applyFont="1" applyBorder="1" applyAlignment="1" applyProtection="1">
      <alignment horizontal="left" vertical="center"/>
      <protection locked="0"/>
    </xf>
    <xf numFmtId="0" fontId="18" fillId="0" borderId="0" xfId="0"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4" fontId="2" fillId="0" borderId="67" xfId="0" applyNumberFormat="1" applyFont="1" applyBorder="1" applyAlignment="1" applyProtection="1">
      <alignment horizontal="center"/>
      <protection locked="0"/>
    </xf>
    <xf numFmtId="14" fontId="2" fillId="0" borderId="72" xfId="0" applyNumberFormat="1" applyFont="1" applyBorder="1" applyAlignment="1" applyProtection="1">
      <alignment horizontal="center"/>
      <protection locked="0"/>
    </xf>
    <xf numFmtId="14" fontId="2" fillId="0" borderId="101" xfId="0" applyNumberFormat="1" applyFont="1" applyBorder="1" applyAlignment="1" applyProtection="1">
      <alignment horizontal="center"/>
      <protection locked="0"/>
    </xf>
    <xf numFmtId="14" fontId="2" fillId="0" borderId="34" xfId="0" applyNumberFormat="1" applyFont="1" applyBorder="1" applyAlignment="1" applyProtection="1">
      <alignment horizontal="center"/>
      <protection locked="0"/>
    </xf>
    <xf numFmtId="14" fontId="2" fillId="0" borderId="100" xfId="0" applyNumberFormat="1" applyFont="1" applyBorder="1" applyAlignment="1" applyProtection="1">
      <alignment horizontal="center"/>
      <protection locked="0"/>
    </xf>
    <xf numFmtId="14" fontId="9" fillId="0" borderId="15" xfId="0" applyNumberFormat="1" applyFont="1" applyBorder="1" applyAlignment="1" applyProtection="1">
      <alignment horizontal="center" vertical="center"/>
      <protection locked="0"/>
    </xf>
    <xf numFmtId="44" fontId="9" fillId="0" borderId="21" xfId="0" applyNumberFormat="1" applyFont="1" applyBorder="1" applyAlignment="1" applyProtection="1">
      <alignment horizontal="right" vertical="center"/>
      <protection locked="0"/>
    </xf>
    <xf numFmtId="0" fontId="110" fillId="0" borderId="0" xfId="0" applyFont="1" applyAlignment="1">
      <alignment horizontal="center" vertical="center" wrapText="1"/>
    </xf>
    <xf numFmtId="0" fontId="6" fillId="0" borderId="7" xfId="0" applyFont="1" applyBorder="1" applyAlignment="1">
      <alignment vertical="center" wrapText="1"/>
    </xf>
    <xf numFmtId="0" fontId="2" fillId="0" borderId="15" xfId="0" applyFont="1" applyBorder="1" applyAlignment="1" applyProtection="1">
      <alignment horizontal="center" vertical="center" wrapText="1"/>
      <protection locked="0"/>
    </xf>
    <xf numFmtId="14" fontId="0" fillId="0" borderId="0" xfId="0" applyNumberFormat="1" applyAlignment="1">
      <alignment horizontal="center"/>
    </xf>
    <xf numFmtId="0" fontId="22" fillId="14" borderId="124" xfId="0" applyFont="1" applyFill="1" applyBorder="1" applyAlignment="1">
      <alignment horizontal="center" vertical="center"/>
    </xf>
    <xf numFmtId="0" fontId="22" fillId="14" borderId="125" xfId="0" applyFont="1" applyFill="1" applyBorder="1" applyAlignment="1">
      <alignment horizontal="center" vertical="center"/>
    </xf>
    <xf numFmtId="0" fontId="0" fillId="0" borderId="15" xfId="0" applyBorder="1" applyAlignment="1">
      <alignment horizontal="center"/>
    </xf>
    <xf numFmtId="0" fontId="0" fillId="0" borderId="15" xfId="0" applyBorder="1"/>
    <xf numFmtId="14" fontId="0" fillId="0" borderId="15" xfId="0" applyNumberFormat="1" applyBorder="1" applyAlignment="1">
      <alignment horizontal="center"/>
    </xf>
    <xf numFmtId="0" fontId="22" fillId="14" borderId="126" xfId="0" applyFont="1" applyFill="1" applyBorder="1" applyAlignment="1">
      <alignment horizontal="center" vertical="center" wrapText="1"/>
    </xf>
    <xf numFmtId="0" fontId="2" fillId="0" borderId="0" xfId="0" applyFont="1" applyAlignment="1">
      <alignment horizontal="right" indent="1"/>
    </xf>
    <xf numFmtId="14" fontId="104" fillId="7" borderId="21" xfId="0" applyNumberFormat="1" applyFont="1" applyFill="1" applyBorder="1" applyAlignment="1" applyProtection="1">
      <alignment horizontal="center" vertical="center" wrapText="1"/>
      <protection locked="0"/>
    </xf>
    <xf numFmtId="167" fontId="78" fillId="0" borderId="15" xfId="0" applyNumberFormat="1" applyFont="1" applyBorder="1" applyAlignment="1" applyProtection="1">
      <alignment vertical="center" wrapText="1"/>
      <protection locked="0"/>
    </xf>
    <xf numFmtId="0" fontId="78" fillId="0" borderId="15" xfId="0" applyFont="1" applyBorder="1" applyAlignment="1" applyProtection="1">
      <alignment vertical="center" wrapText="1"/>
      <protection locked="0"/>
    </xf>
    <xf numFmtId="167" fontId="78" fillId="0" borderId="72" xfId="0" applyNumberFormat="1" applyFont="1" applyBorder="1" applyAlignment="1" applyProtection="1">
      <alignment vertical="center" wrapText="1"/>
      <protection locked="0"/>
    </xf>
    <xf numFmtId="0" fontId="78" fillId="0" borderId="72" xfId="0" applyFont="1" applyBorder="1" applyAlignment="1" applyProtection="1">
      <alignment vertical="center" wrapText="1"/>
      <protection locked="0"/>
    </xf>
    <xf numFmtId="0" fontId="114" fillId="8" borderId="115" xfId="0" applyFont="1" applyFill="1" applyBorder="1" applyAlignment="1">
      <alignment horizontal="left" vertical="center" wrapText="1" indent="1"/>
    </xf>
    <xf numFmtId="0" fontId="114" fillId="8" borderId="33" xfId="0" applyFont="1" applyFill="1" applyBorder="1" applyAlignment="1">
      <alignment horizontal="left" vertical="center" wrapText="1" indent="1"/>
    </xf>
    <xf numFmtId="0" fontId="114" fillId="8" borderId="117" xfId="0" applyFont="1" applyFill="1" applyBorder="1" applyAlignment="1">
      <alignment horizontal="left" vertical="center" wrapText="1" indent="1"/>
    </xf>
    <xf numFmtId="0" fontId="114" fillId="8" borderId="99" xfId="0" applyFont="1" applyFill="1" applyBorder="1" applyAlignment="1">
      <alignment horizontal="left" vertical="center" wrapText="1" indent="1"/>
    </xf>
    <xf numFmtId="0" fontId="114" fillId="8" borderId="87" xfId="0" applyFont="1" applyFill="1" applyBorder="1" applyAlignment="1">
      <alignment horizontal="left" vertical="center" wrapText="1" indent="1"/>
    </xf>
    <xf numFmtId="0" fontId="114" fillId="8" borderId="15" xfId="0" applyFont="1" applyFill="1" applyBorder="1" applyAlignment="1">
      <alignment horizontal="left" vertical="center" wrapText="1" indent="1"/>
    </xf>
    <xf numFmtId="0" fontId="114" fillId="8" borderId="102" xfId="0" applyFont="1" applyFill="1" applyBorder="1" applyAlignment="1">
      <alignment horizontal="left" vertical="center" wrapText="1" indent="1"/>
    </xf>
    <xf numFmtId="0" fontId="114" fillId="8" borderId="35" xfId="0" applyFont="1" applyFill="1" applyBorder="1" applyAlignment="1">
      <alignment horizontal="left" vertical="center" wrapText="1" indent="1"/>
    </xf>
    <xf numFmtId="0" fontId="114" fillId="8" borderId="122" xfId="0" applyFont="1" applyFill="1" applyBorder="1" applyAlignment="1">
      <alignment horizontal="left" vertical="center" wrapText="1" indent="1"/>
    </xf>
    <xf numFmtId="0" fontId="114" fillId="8" borderId="13" xfId="0" applyFont="1" applyFill="1" applyBorder="1" applyAlignment="1">
      <alignment horizontal="left" vertical="center" wrapText="1" indent="1"/>
    </xf>
    <xf numFmtId="0" fontId="114" fillId="8" borderId="60" xfId="0" applyFont="1" applyFill="1" applyBorder="1" applyAlignment="1">
      <alignment horizontal="left" vertical="center" wrapText="1" indent="1"/>
    </xf>
    <xf numFmtId="0" fontId="114" fillId="8" borderId="87" xfId="0" applyFont="1" applyFill="1" applyBorder="1" applyAlignment="1">
      <alignment horizontal="center" vertical="center" wrapText="1"/>
    </xf>
    <xf numFmtId="0" fontId="114" fillId="8" borderId="116" xfId="0" applyFont="1" applyFill="1" applyBorder="1" applyAlignment="1">
      <alignment horizontal="center" vertical="center" wrapText="1"/>
    </xf>
    <xf numFmtId="0" fontId="115" fillId="3" borderId="0" xfId="0" applyFont="1" applyFill="1"/>
    <xf numFmtId="9" fontId="115" fillId="3" borderId="0" xfId="0" applyNumberFormat="1" applyFont="1" applyFill="1"/>
    <xf numFmtId="0" fontId="116" fillId="3" borderId="0" xfId="0" applyFont="1" applyFill="1"/>
    <xf numFmtId="10" fontId="78" fillId="0" borderId="34" xfId="0" applyNumberFormat="1" applyFont="1" applyBorder="1" applyAlignment="1" applyProtection="1">
      <alignment horizontal="center" vertical="center" wrapText="1"/>
      <protection locked="0"/>
    </xf>
    <xf numFmtId="10" fontId="78" fillId="0" borderId="100" xfId="0" applyNumberFormat="1" applyFont="1" applyBorder="1" applyAlignment="1" applyProtection="1">
      <alignment horizontal="center" vertical="center" wrapText="1"/>
      <protection locked="0"/>
    </xf>
    <xf numFmtId="0" fontId="0" fillId="0" borderId="33" xfId="0" applyBorder="1" applyAlignment="1" applyProtection="1">
      <alignment horizontal="center" vertical="center"/>
      <protection locked="0"/>
    </xf>
    <xf numFmtId="0" fontId="49" fillId="0" borderId="15" xfId="0" applyFont="1" applyBorder="1" applyAlignment="1" applyProtection="1">
      <alignment horizontal="center" vertical="center" wrapText="1"/>
      <protection locked="0"/>
    </xf>
    <xf numFmtId="44" fontId="49" fillId="0" borderId="35" xfId="0" applyNumberFormat="1" applyFont="1" applyBorder="1" applyAlignment="1" applyProtection="1">
      <alignment horizontal="center" vertical="center" wrapText="1"/>
      <protection locked="0"/>
    </xf>
    <xf numFmtId="44" fontId="49" fillId="0" borderId="36" xfId="0" applyNumberFormat="1" applyFont="1" applyBorder="1" applyAlignment="1" applyProtection="1">
      <alignment horizontal="center" vertical="center" wrapText="1"/>
      <protection locked="0"/>
    </xf>
    <xf numFmtId="0" fontId="13" fillId="0" borderId="15" xfId="0" applyFont="1" applyBorder="1" applyAlignment="1" applyProtection="1">
      <alignment horizontal="right"/>
      <protection locked="0"/>
    </xf>
    <xf numFmtId="0" fontId="13" fillId="0" borderId="4" xfId="0" applyFont="1" applyBorder="1" applyAlignment="1">
      <alignment vertical="center"/>
    </xf>
    <xf numFmtId="14" fontId="2" fillId="0" borderId="23" xfId="0" applyNumberFormat="1" applyFont="1" applyBorder="1" applyAlignment="1" applyProtection="1">
      <alignment horizontal="center" vertical="top"/>
      <protection locked="0"/>
    </xf>
    <xf numFmtId="14" fontId="2" fillId="0" borderId="6" xfId="0" applyNumberFormat="1" applyFont="1" applyBorder="1" applyAlignment="1" applyProtection="1">
      <alignment horizontal="center" vertical="top"/>
      <protection locked="0"/>
    </xf>
    <xf numFmtId="14" fontId="2" fillId="0" borderId="89" xfId="0" applyNumberFormat="1" applyFont="1" applyBorder="1" applyAlignment="1" applyProtection="1">
      <alignment horizontal="center" vertical="top"/>
      <protection locked="0"/>
    </xf>
    <xf numFmtId="0" fontId="112" fillId="7" borderId="0" xfId="0" applyFont="1" applyFill="1" applyAlignment="1">
      <alignment horizontal="center" vertical="center" wrapText="1"/>
    </xf>
    <xf numFmtId="0" fontId="0" fillId="0" borderId="111" xfId="0" applyBorder="1" applyAlignment="1">
      <alignment horizontal="center"/>
    </xf>
    <xf numFmtId="0" fontId="0" fillId="0" borderId="111" xfId="0" applyBorder="1"/>
    <xf numFmtId="14" fontId="0" fillId="0" borderId="111" xfId="0" applyNumberFormat="1" applyBorder="1" applyAlignment="1">
      <alignment horizontal="center"/>
    </xf>
    <xf numFmtId="0" fontId="0" fillId="0" borderId="15" xfId="0" applyBorder="1" applyAlignment="1">
      <alignment horizontal="left"/>
    </xf>
    <xf numFmtId="0" fontId="2" fillId="12" borderId="0" xfId="0" applyFont="1" applyFill="1" applyAlignment="1">
      <alignment vertical="center" wrapText="1"/>
    </xf>
    <xf numFmtId="0" fontId="129" fillId="0" borderId="0" xfId="0" applyFont="1" applyAlignment="1">
      <alignment horizontal="center"/>
    </xf>
    <xf numFmtId="0" fontId="130" fillId="0" borderId="0" xfId="0" applyFont="1" applyAlignment="1">
      <alignment horizontal="center"/>
    </xf>
    <xf numFmtId="0" fontId="132" fillId="8" borderId="0" xfId="0" applyFont="1" applyFill="1" applyAlignment="1">
      <alignment horizontal="center" vertical="center" wrapText="1"/>
    </xf>
    <xf numFmtId="0" fontId="0" fillId="0" borderId="18" xfId="0" applyBorder="1"/>
    <xf numFmtId="0" fontId="131" fillId="0" borderId="0" xfId="1" applyFont="1" applyFill="1" applyBorder="1" applyAlignment="1" applyProtection="1">
      <alignment horizontal="center"/>
      <protection locked="0"/>
    </xf>
    <xf numFmtId="0" fontId="85" fillId="7" borderId="0" xfId="0" applyFont="1" applyFill="1" applyAlignment="1">
      <alignment horizontal="center" wrapText="1"/>
    </xf>
    <xf numFmtId="0" fontId="85" fillId="7" borderId="0" xfId="0" applyFont="1" applyFill="1" applyAlignment="1">
      <alignment horizontal="center" vertical="center" wrapText="1"/>
    </xf>
    <xf numFmtId="0" fontId="65" fillId="4" borderId="0" xfId="0" applyFont="1" applyFill="1" applyAlignment="1">
      <alignment horizontal="center" vertical="center" wrapText="1"/>
    </xf>
    <xf numFmtId="0" fontId="66" fillId="5" borderId="0" xfId="0" applyFont="1" applyFill="1" applyAlignment="1">
      <alignment horizontal="center" vertical="center" wrapText="1"/>
    </xf>
    <xf numFmtId="0" fontId="66" fillId="5" borderId="61" xfId="0" applyFont="1" applyFill="1" applyBorder="1" applyAlignment="1">
      <alignment horizontal="center" vertical="center" wrapText="1"/>
    </xf>
    <xf numFmtId="0" fontId="107" fillId="5" borderId="0" xfId="1" applyFont="1" applyFill="1" applyAlignment="1">
      <alignment horizontal="center" vertical="center" wrapText="1"/>
    </xf>
    <xf numFmtId="0" fontId="106" fillId="5" borderId="0" xfId="1" applyFont="1" applyFill="1" applyAlignment="1">
      <alignment horizontal="center" vertical="center" wrapText="1"/>
    </xf>
    <xf numFmtId="0" fontId="106" fillId="5" borderId="62" xfId="1" applyFont="1" applyFill="1" applyBorder="1" applyAlignment="1">
      <alignment horizontal="center" vertical="center" wrapText="1"/>
    </xf>
    <xf numFmtId="0" fontId="0" fillId="7" borderId="63" xfId="0" applyFill="1" applyBorder="1" applyAlignment="1">
      <alignment horizontal="center" vertical="center" wrapText="1"/>
    </xf>
    <xf numFmtId="0" fontId="0" fillId="7" borderId="64" xfId="0" applyFill="1" applyBorder="1" applyAlignment="1">
      <alignment horizontal="center" vertical="center" wrapText="1"/>
    </xf>
    <xf numFmtId="0" fontId="0" fillId="7" borderId="65" xfId="0" applyFill="1" applyBorder="1" applyAlignment="1">
      <alignment horizontal="center" vertical="center" wrapText="1"/>
    </xf>
    <xf numFmtId="0" fontId="0" fillId="0" borderId="0" xfId="0" applyAlignment="1">
      <alignment horizontal="center" vertical="center"/>
    </xf>
    <xf numFmtId="0" fontId="67" fillId="0" borderId="0" xfId="0" applyFont="1" applyAlignment="1">
      <alignment horizontal="center" vertical="center"/>
    </xf>
    <xf numFmtId="0" fontId="121" fillId="4" borderId="0" xfId="0" applyFont="1" applyFill="1" applyAlignment="1">
      <alignment horizontal="center" vertical="center" wrapText="1"/>
    </xf>
    <xf numFmtId="0" fontId="118" fillId="0" borderId="0" xfId="0" applyFont="1" applyAlignment="1">
      <alignment horizontal="center"/>
    </xf>
    <xf numFmtId="0" fontId="0" fillId="0" borderId="0" xfId="0" applyAlignment="1">
      <alignment horizontal="center"/>
    </xf>
    <xf numFmtId="0" fontId="3" fillId="12" borderId="0" xfId="0" applyFont="1" applyFill="1" applyAlignment="1">
      <alignment horizontal="center" vertical="center" wrapText="1"/>
    </xf>
    <xf numFmtId="0" fontId="34" fillId="12" borderId="0" xfId="0" applyFont="1" applyFill="1" applyAlignment="1">
      <alignment horizontal="center" vertical="center" wrapText="1"/>
    </xf>
    <xf numFmtId="0" fontId="18" fillId="0" borderId="0" xfId="0" applyFont="1" applyAlignment="1">
      <alignment horizontal="left" vertical="center" wrapText="1"/>
    </xf>
    <xf numFmtId="0" fontId="9" fillId="0" borderId="11" xfId="0" applyFont="1" applyBorder="1" applyAlignment="1" applyProtection="1">
      <alignment horizontal="center"/>
      <protection locked="0"/>
    </xf>
    <xf numFmtId="0" fontId="9" fillId="0" borderId="13" xfId="0" applyFont="1" applyBorder="1" applyAlignment="1" applyProtection="1">
      <alignment horizontal="center"/>
      <protection locked="0"/>
    </xf>
    <xf numFmtId="0" fontId="19" fillId="0" borderId="0" xfId="0" applyFont="1" applyAlignment="1">
      <alignment horizontal="left" vertical="center" wrapText="1"/>
    </xf>
    <xf numFmtId="0" fontId="19" fillId="0" borderId="0" xfId="0" applyFont="1" applyAlignment="1">
      <alignment horizontal="left" vertical="center" wrapText="1" indent="3"/>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3" fillId="0" borderId="16" xfId="0" applyFont="1" applyBorder="1" applyAlignment="1">
      <alignment horizontal="left" vertical="center" wrapText="1" indent="1"/>
    </xf>
    <xf numFmtId="0" fontId="3" fillId="0" borderId="18" xfId="0" applyFont="1" applyBorder="1" applyAlignment="1">
      <alignment horizontal="left" vertical="center" wrapText="1" indent="1"/>
    </xf>
    <xf numFmtId="0" fontId="3" fillId="0" borderId="17" xfId="0" applyFont="1" applyBorder="1" applyAlignment="1">
      <alignment horizontal="left" vertical="center" wrapText="1" indent="1"/>
    </xf>
    <xf numFmtId="0" fontId="9" fillId="0" borderId="20" xfId="0" applyFont="1" applyBorder="1" applyAlignment="1">
      <alignment horizontal="left" vertical="center" wrapText="1"/>
    </xf>
    <xf numFmtId="0" fontId="14" fillId="0" borderId="0" xfId="0" applyFont="1" applyAlignment="1">
      <alignment horizontal="center"/>
    </xf>
    <xf numFmtId="0" fontId="22" fillId="0" borderId="0" xfId="0" applyFont="1" applyAlignment="1">
      <alignment horizontal="center"/>
    </xf>
    <xf numFmtId="0" fontId="29" fillId="0" borderId="19" xfId="0" applyFont="1" applyBorder="1" applyAlignment="1">
      <alignment horizontal="center"/>
    </xf>
    <xf numFmtId="0" fontId="16" fillId="0" borderId="0" xfId="0" applyFont="1" applyAlignment="1">
      <alignment horizontal="left" vertical="top" wrapText="1"/>
    </xf>
    <xf numFmtId="0" fontId="16" fillId="0" borderId="1" xfId="0" applyFont="1" applyBorder="1" applyAlignment="1">
      <alignment horizontal="left" vertical="top" wrapText="1"/>
    </xf>
    <xf numFmtId="0" fontId="36" fillId="0" borderId="0" xfId="0" applyFont="1" applyAlignment="1">
      <alignment horizontal="center" vertical="center"/>
    </xf>
    <xf numFmtId="0" fontId="5" fillId="0" borderId="3" xfId="0" applyFont="1" applyBorder="1" applyAlignment="1">
      <alignment horizontal="center"/>
    </xf>
    <xf numFmtId="0" fontId="5" fillId="0" borderId="4" xfId="0" applyFont="1" applyBorder="1" applyAlignment="1">
      <alignment horizontal="center"/>
    </xf>
    <xf numFmtId="0" fontId="24" fillId="0" borderId="0" xfId="0" applyFont="1" applyAlignment="1">
      <alignment horizont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27" fillId="0" borderId="0" xfId="1" applyFill="1" applyAlignment="1">
      <alignment horizontal="center" vertical="top" wrapText="1"/>
    </xf>
    <xf numFmtId="0" fontId="2" fillId="0" borderId="0" xfId="0" applyFont="1" applyAlignment="1">
      <alignment horizontal="center" vertical="top" wrapText="1"/>
    </xf>
    <xf numFmtId="0" fontId="2" fillId="0" borderId="7" xfId="0" applyFont="1" applyBorder="1" applyAlignment="1">
      <alignment horizontal="center" vertical="top" wrapText="1"/>
    </xf>
    <xf numFmtId="0" fontId="2" fillId="0" borderId="9" xfId="0" applyFont="1" applyBorder="1" applyAlignment="1">
      <alignment horizontal="center"/>
    </xf>
    <xf numFmtId="0" fontId="2" fillId="0" borderId="7" xfId="0" applyFont="1" applyBorder="1" applyAlignment="1">
      <alignment horizontal="center"/>
    </xf>
    <xf numFmtId="0" fontId="88" fillId="0" borderId="0" xfId="0" applyFont="1" applyAlignment="1">
      <alignment horizontal="center"/>
    </xf>
    <xf numFmtId="0" fontId="22" fillId="3" borderId="0" xfId="0" applyFont="1" applyFill="1" applyAlignment="1">
      <alignment horizontal="center"/>
    </xf>
    <xf numFmtId="0" fontId="2" fillId="0" borderId="0" xfId="0" applyFont="1" applyAlignment="1">
      <alignment horizontal="center"/>
    </xf>
    <xf numFmtId="0" fontId="23" fillId="0" borderId="0" xfId="0" applyFont="1" applyAlignment="1">
      <alignment horizontal="left" vertical="center" wrapText="1"/>
    </xf>
    <xf numFmtId="0" fontId="6" fillId="0" borderId="0" xfId="0" applyFont="1" applyAlignment="1">
      <alignment horizontal="center" vertical="center"/>
    </xf>
    <xf numFmtId="0" fontId="9" fillId="0" borderId="0" xfId="0" applyFont="1" applyAlignment="1">
      <alignment horizontal="right" indent="1"/>
    </xf>
    <xf numFmtId="0" fontId="9" fillId="0" borderId="10" xfId="0" applyFont="1" applyBorder="1" applyAlignment="1">
      <alignment horizontal="right" indent="1"/>
    </xf>
    <xf numFmtId="0" fontId="9" fillId="0" borderId="12" xfId="0" applyFont="1" applyBorder="1" applyAlignment="1" applyProtection="1">
      <alignment horizontal="center"/>
      <protection locked="0"/>
    </xf>
    <xf numFmtId="0" fontId="19" fillId="0" borderId="0" xfId="0" applyFont="1" applyAlignment="1">
      <alignment horizontal="right" vertical="center" wrapText="1"/>
    </xf>
    <xf numFmtId="0" fontId="18" fillId="0" borderId="0" xfId="0" applyFont="1" applyAlignment="1">
      <alignment horizontal="right" vertical="center" wrapText="1" indent="1"/>
    </xf>
    <xf numFmtId="0" fontId="88" fillId="0" borderId="2" xfId="0" applyFont="1" applyBorder="1" applyAlignment="1">
      <alignment horizontal="center" vertical="center"/>
    </xf>
    <xf numFmtId="0" fontId="88" fillId="0" borderId="0" xfId="0" applyFont="1" applyAlignment="1">
      <alignment horizontal="center" vertical="center"/>
    </xf>
    <xf numFmtId="0" fontId="88" fillId="0" borderId="1" xfId="0" applyFont="1" applyBorder="1" applyAlignment="1">
      <alignment horizontal="center" vertical="center"/>
    </xf>
    <xf numFmtId="0" fontId="24" fillId="0" borderId="2" xfId="0" applyFont="1" applyBorder="1" applyAlignment="1">
      <alignment horizontal="center"/>
    </xf>
    <xf numFmtId="0" fontId="24" fillId="0" borderId="1" xfId="0" applyFont="1" applyBorder="1" applyAlignment="1">
      <alignment horizontal="center"/>
    </xf>
    <xf numFmtId="0" fontId="30" fillId="0" borderId="2" xfId="1" applyFont="1" applyFill="1" applyBorder="1" applyAlignment="1">
      <alignment horizontal="center" vertical="center" wrapText="1"/>
    </xf>
    <xf numFmtId="0" fontId="30" fillId="0" borderId="0" xfId="1" applyFont="1" applyFill="1" applyAlignment="1">
      <alignment horizontal="center" vertical="center" wrapText="1"/>
    </xf>
    <xf numFmtId="0" fontId="30" fillId="0" borderId="1" xfId="1" applyFont="1" applyFill="1" applyBorder="1" applyAlignment="1">
      <alignment horizontal="center" vertical="center" wrapText="1"/>
    </xf>
    <xf numFmtId="0" fontId="30" fillId="0" borderId="9" xfId="1" applyFont="1" applyFill="1" applyBorder="1" applyAlignment="1">
      <alignment horizontal="center" vertical="center" wrapText="1"/>
    </xf>
    <xf numFmtId="0" fontId="30" fillId="0" borderId="7" xfId="1" applyFont="1" applyFill="1" applyBorder="1" applyAlignment="1">
      <alignment horizontal="center" vertical="center" wrapText="1"/>
    </xf>
    <xf numFmtId="0" fontId="30" fillId="0" borderId="8" xfId="1" applyFont="1" applyFill="1" applyBorder="1" applyAlignment="1">
      <alignment horizontal="center" vertical="center" wrapText="1"/>
    </xf>
    <xf numFmtId="0" fontId="6" fillId="13" borderId="23" xfId="0" applyFont="1" applyFill="1" applyBorder="1" applyAlignment="1" applyProtection="1">
      <alignment horizontal="center" vertical="center"/>
      <protection locked="0"/>
    </xf>
    <xf numFmtId="0" fontId="6" fillId="13" borderId="6" xfId="0" applyFont="1" applyFill="1" applyBorder="1" applyAlignment="1" applyProtection="1">
      <alignment horizontal="center" vertical="center"/>
      <protection locked="0"/>
    </xf>
    <xf numFmtId="0" fontId="6" fillId="13" borderId="24" xfId="0" applyFont="1" applyFill="1" applyBorder="1" applyAlignment="1" applyProtection="1">
      <alignment horizontal="center" vertical="center"/>
      <protection locked="0"/>
    </xf>
    <xf numFmtId="0" fontId="6" fillId="13" borderId="25" xfId="0" applyFont="1" applyFill="1" applyBorder="1" applyAlignment="1" applyProtection="1">
      <alignment horizontal="center" vertical="center"/>
      <protection locked="0"/>
    </xf>
    <xf numFmtId="0" fontId="6" fillId="13" borderId="4" xfId="0" applyFont="1" applyFill="1" applyBorder="1" applyAlignment="1" applyProtection="1">
      <alignment horizontal="center" vertical="center"/>
      <protection locked="0"/>
    </xf>
    <xf numFmtId="0" fontId="6" fillId="13" borderId="26" xfId="0" applyFont="1" applyFill="1" applyBorder="1" applyAlignment="1" applyProtection="1">
      <alignment horizontal="center" vertical="center"/>
      <protection locked="0"/>
    </xf>
    <xf numFmtId="0" fontId="19" fillId="0" borderId="0" xfId="0" applyFont="1" applyAlignment="1">
      <alignment horizontal="center" vertical="center" wrapText="1"/>
    </xf>
    <xf numFmtId="0" fontId="18" fillId="0" borderId="0" xfId="0" applyFont="1" applyAlignment="1">
      <alignment horizontal="center" wrapText="1"/>
    </xf>
    <xf numFmtId="0" fontId="35" fillId="0" borderId="0" xfId="0" applyFont="1" applyAlignment="1">
      <alignment horizontal="center" wrapText="1"/>
    </xf>
    <xf numFmtId="0" fontId="26" fillId="0" borderId="0" xfId="0" applyFont="1" applyAlignment="1">
      <alignment horizontal="center" wrapText="1"/>
    </xf>
    <xf numFmtId="0" fontId="26" fillId="0" borderId="4" xfId="0" applyFont="1" applyBorder="1" applyAlignment="1">
      <alignment horizontal="center" wrapText="1"/>
    </xf>
    <xf numFmtId="0" fontId="19" fillId="13" borderId="11" xfId="0" applyFont="1" applyFill="1" applyBorder="1" applyAlignment="1" applyProtection="1">
      <alignment horizontal="center" vertical="center" wrapText="1"/>
      <protection locked="0"/>
    </xf>
    <xf numFmtId="0" fontId="19" fillId="13" borderId="12" xfId="0" applyFont="1" applyFill="1" applyBorder="1" applyAlignment="1" applyProtection="1">
      <alignment horizontal="center" vertical="center" wrapText="1"/>
      <protection locked="0"/>
    </xf>
    <xf numFmtId="0" fontId="19" fillId="13" borderId="13" xfId="0" applyFont="1" applyFill="1" applyBorder="1" applyAlignment="1" applyProtection="1">
      <alignment horizontal="center" vertical="center" wrapText="1"/>
      <protection locked="0"/>
    </xf>
    <xf numFmtId="0" fontId="19" fillId="0" borderId="0" xfId="0" applyFont="1" applyAlignment="1">
      <alignment horizontal="left" vertical="center" wrapText="1" indent="1"/>
    </xf>
    <xf numFmtId="0" fontId="19" fillId="0" borderId="0" xfId="0" applyFont="1" applyAlignment="1">
      <alignment horizontal="right" vertical="center" wrapText="1" indent="1"/>
    </xf>
    <xf numFmtId="0" fontId="19" fillId="0" borderId="10" xfId="0" applyFont="1" applyBorder="1" applyAlignment="1">
      <alignment horizontal="right" vertical="center" wrapText="1" indent="1"/>
    </xf>
    <xf numFmtId="1" fontId="20" fillId="0" borderId="11" xfId="0" applyNumberFormat="1" applyFont="1" applyBorder="1" applyAlignment="1">
      <alignment horizontal="center" vertical="center" wrapText="1"/>
    </xf>
    <xf numFmtId="1" fontId="20" fillId="0" borderId="13" xfId="0" applyNumberFormat="1" applyFont="1" applyBorder="1" applyAlignment="1">
      <alignment horizontal="center" vertical="center" wrapText="1"/>
    </xf>
    <xf numFmtId="0" fontId="33" fillId="0" borderId="29" xfId="0" applyFont="1" applyBorder="1" applyAlignment="1">
      <alignment horizontal="center" vertical="center"/>
    </xf>
    <xf numFmtId="0" fontId="128" fillId="0" borderId="0" xfId="0" applyFont="1" applyAlignment="1">
      <alignment horizontal="center" vertical="center" wrapText="1"/>
    </xf>
    <xf numFmtId="165" fontId="0" fillId="0" borderId="27" xfId="0" applyNumberFormat="1" applyBorder="1" applyAlignment="1">
      <alignment horizontal="center"/>
    </xf>
    <xf numFmtId="0" fontId="0" fillId="0" borderId="0" xfId="0" applyAlignment="1">
      <alignment horizontal="right"/>
    </xf>
    <xf numFmtId="0" fontId="22" fillId="0" borderId="0" xfId="0" applyFont="1" applyAlignment="1">
      <alignment horizontal="right"/>
    </xf>
    <xf numFmtId="44" fontId="21" fillId="0" borderId="16" xfId="0" applyNumberFormat="1" applyFont="1" applyBorder="1" applyAlignment="1">
      <alignment horizontal="center" vertical="center" wrapText="1"/>
    </xf>
    <xf numFmtId="44" fontId="21" fillId="0" borderId="18" xfId="0" applyNumberFormat="1" applyFont="1" applyBorder="1" applyAlignment="1">
      <alignment horizontal="center" vertical="center" wrapText="1"/>
    </xf>
    <xf numFmtId="44" fontId="21" fillId="0" borderId="17" xfId="0" applyNumberFormat="1" applyFont="1" applyBorder="1" applyAlignment="1">
      <alignment horizontal="center" vertical="center" wrapText="1"/>
    </xf>
    <xf numFmtId="0" fontId="0" fillId="0" borderId="27" xfId="0" applyBorder="1" applyAlignment="1">
      <alignment horizontal="center"/>
    </xf>
    <xf numFmtId="0" fontId="3" fillId="9" borderId="16" xfId="0" applyFont="1" applyFill="1" applyBorder="1" applyAlignment="1">
      <alignment horizontal="left" vertical="center" wrapText="1" indent="1"/>
    </xf>
    <xf numFmtId="0" fontId="3" fillId="9" borderId="18" xfId="0" applyFont="1" applyFill="1" applyBorder="1" applyAlignment="1">
      <alignment horizontal="left" vertical="center" wrapText="1" indent="1"/>
    </xf>
    <xf numFmtId="0" fontId="3" fillId="9" borderId="17" xfId="0" applyFont="1" applyFill="1" applyBorder="1" applyAlignment="1">
      <alignment horizontal="left" vertical="center" wrapText="1" indent="1"/>
    </xf>
    <xf numFmtId="0" fontId="45" fillId="0" borderId="0" xfId="0" applyFont="1" applyAlignment="1">
      <alignment horizontal="center" vertical="center" wrapText="1"/>
    </xf>
    <xf numFmtId="0" fontId="34" fillId="0" borderId="2" xfId="0" applyFont="1" applyBorder="1" applyAlignment="1">
      <alignment horizontal="center"/>
    </xf>
    <xf numFmtId="0" fontId="34" fillId="0" borderId="0" xfId="0" applyFont="1" applyAlignment="1">
      <alignment horizontal="center"/>
    </xf>
    <xf numFmtId="0" fontId="34" fillId="0" borderId="1" xfId="0" applyFont="1" applyBorder="1" applyAlignment="1">
      <alignment horizontal="center"/>
    </xf>
    <xf numFmtId="0" fontId="19" fillId="13" borderId="23" xfId="0" applyFont="1" applyFill="1" applyBorder="1" applyAlignment="1" applyProtection="1">
      <alignment horizontal="left" vertical="top" wrapText="1" indent="1"/>
      <protection locked="0"/>
    </xf>
    <xf numFmtId="0" fontId="19" fillId="13" borderId="6" xfId="0" applyFont="1" applyFill="1" applyBorder="1" applyAlignment="1" applyProtection="1">
      <alignment horizontal="left" vertical="top" wrapText="1" indent="1"/>
      <protection locked="0"/>
    </xf>
    <xf numFmtId="0" fontId="19" fillId="13" borderId="24" xfId="0" applyFont="1" applyFill="1" applyBorder="1" applyAlignment="1" applyProtection="1">
      <alignment horizontal="left" vertical="top" wrapText="1" indent="1"/>
      <protection locked="0"/>
    </xf>
    <xf numFmtId="0" fontId="19" fillId="13" borderId="22" xfId="0" applyFont="1" applyFill="1" applyBorder="1" applyAlignment="1" applyProtection="1">
      <alignment horizontal="left" vertical="top" wrapText="1" indent="1"/>
      <protection locked="0"/>
    </xf>
    <xf numFmtId="0" fontId="19" fillId="13" borderId="0" xfId="0" applyFont="1" applyFill="1" applyAlignment="1" applyProtection="1">
      <alignment horizontal="left" vertical="top" wrapText="1" indent="1"/>
      <protection locked="0"/>
    </xf>
    <xf numFmtId="0" fontId="19" fillId="13" borderId="10" xfId="0" applyFont="1" applyFill="1" applyBorder="1" applyAlignment="1" applyProtection="1">
      <alignment horizontal="left" vertical="top" wrapText="1" indent="1"/>
      <protection locked="0"/>
    </xf>
    <xf numFmtId="0" fontId="19" fillId="13" borderId="25" xfId="0" applyFont="1" applyFill="1" applyBorder="1" applyAlignment="1" applyProtection="1">
      <alignment horizontal="left" vertical="top" wrapText="1" indent="1"/>
      <protection locked="0"/>
    </xf>
    <xf numFmtId="0" fontId="19" fillId="13" borderId="4" xfId="0" applyFont="1" applyFill="1" applyBorder="1" applyAlignment="1" applyProtection="1">
      <alignment horizontal="left" vertical="top" wrapText="1" indent="1"/>
      <protection locked="0"/>
    </xf>
    <xf numFmtId="0" fontId="19" fillId="13" borderId="26" xfId="0" applyFont="1" applyFill="1" applyBorder="1" applyAlignment="1" applyProtection="1">
      <alignment horizontal="left" vertical="top" wrapText="1" indent="1"/>
      <protection locked="0"/>
    </xf>
    <xf numFmtId="0" fontId="2" fillId="13" borderId="12" xfId="0" applyFont="1" applyFill="1" applyBorder="1" applyAlignment="1" applyProtection="1">
      <alignment horizontal="center"/>
      <protection locked="0"/>
    </xf>
    <xf numFmtId="0" fontId="2" fillId="13" borderId="13" xfId="0" applyFont="1" applyFill="1" applyBorder="1" applyAlignment="1" applyProtection="1">
      <alignment horizontal="center"/>
      <protection locked="0"/>
    </xf>
    <xf numFmtId="0" fontId="26" fillId="0" borderId="0" xfId="0" applyFont="1" applyAlignment="1">
      <alignment horizontal="center" vertical="center" wrapText="1"/>
    </xf>
    <xf numFmtId="0" fontId="9" fillId="0" borderId="2" xfId="0" applyFont="1" applyBorder="1" applyAlignment="1">
      <alignment horizontal="center" vertical="center"/>
    </xf>
    <xf numFmtId="0" fontId="9" fillId="0" borderId="10" xfId="0" applyFont="1" applyBorder="1" applyAlignment="1">
      <alignment horizontal="center" vertical="center"/>
    </xf>
    <xf numFmtId="0" fontId="9" fillId="13" borderId="11" xfId="0" applyFont="1" applyFill="1" applyBorder="1" applyAlignment="1" applyProtection="1">
      <alignment horizontal="center" vertical="center"/>
      <protection locked="0"/>
    </xf>
    <xf numFmtId="0" fontId="9" fillId="13" borderId="12" xfId="0" applyFont="1" applyFill="1" applyBorder="1" applyAlignment="1" applyProtection="1">
      <alignment horizontal="center" vertical="center"/>
      <protection locked="0"/>
    </xf>
    <xf numFmtId="0" fontId="9" fillId="13" borderId="13" xfId="0" applyFont="1" applyFill="1" applyBorder="1" applyAlignment="1" applyProtection="1">
      <alignment horizontal="center" vertical="center"/>
      <protection locked="0"/>
    </xf>
    <xf numFmtId="0" fontId="9" fillId="0" borderId="0" xfId="0" applyFont="1" applyAlignment="1">
      <alignment horizontal="center" vertical="center"/>
    </xf>
    <xf numFmtId="0" fontId="0" fillId="12" borderId="0" xfId="0" applyFill="1" applyAlignment="1">
      <alignment horizontal="center"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92" fillId="0" borderId="0" xfId="0" applyFont="1" applyAlignment="1">
      <alignment horizontal="center"/>
    </xf>
    <xf numFmtId="0" fontId="3" fillId="4" borderId="16" xfId="0" applyFont="1" applyFill="1" applyBorder="1" applyAlignment="1">
      <alignment horizontal="left" vertical="center" wrapText="1" indent="1"/>
    </xf>
    <xf numFmtId="0" fontId="3" fillId="4" borderId="18" xfId="0" applyFont="1" applyFill="1" applyBorder="1" applyAlignment="1">
      <alignment horizontal="left" vertical="center" wrapText="1" indent="1"/>
    </xf>
    <xf numFmtId="0" fontId="3" fillId="4" borderId="17" xfId="0" applyFont="1" applyFill="1" applyBorder="1" applyAlignment="1">
      <alignment horizontal="left" vertical="center" wrapText="1" indent="1"/>
    </xf>
    <xf numFmtId="0" fontId="2" fillId="0" borderId="0" xfId="0" applyFont="1" applyAlignment="1">
      <alignment horizontal="right" vertical="center" indent="1"/>
    </xf>
    <xf numFmtId="0" fontId="2" fillId="0" borderId="10" xfId="0" applyFont="1" applyBorder="1" applyAlignment="1">
      <alignment horizontal="right" vertical="center" indent="1"/>
    </xf>
    <xf numFmtId="0" fontId="41" fillId="0" borderId="0" xfId="0" applyFont="1" applyAlignment="1">
      <alignment horizontal="center"/>
    </xf>
    <xf numFmtId="0" fontId="41" fillId="0" borderId="0" xfId="0" applyFont="1" applyAlignment="1">
      <alignment horizontal="center" vertical="center"/>
    </xf>
    <xf numFmtId="0" fontId="93" fillId="0" borderId="0" xfId="0" applyFont="1" applyAlignment="1">
      <alignment horizontal="center" vertical="top"/>
    </xf>
    <xf numFmtId="0" fontId="9" fillId="0" borderId="0" xfId="0" applyFont="1" applyAlignment="1">
      <alignment horizontal="right"/>
    </xf>
    <xf numFmtId="0" fontId="9" fillId="0" borderId="10" xfId="0" applyFont="1" applyBorder="1" applyAlignment="1">
      <alignment horizontal="right"/>
    </xf>
    <xf numFmtId="0" fontId="2" fillId="0" borderId="11"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9" fillId="0" borderId="20" xfId="0" applyFont="1" applyBorder="1" applyAlignment="1">
      <alignment horizontal="justify" vertical="center" wrapText="1"/>
    </xf>
    <xf numFmtId="0" fontId="2" fillId="0" borderId="11" xfId="0" applyFont="1" applyBorder="1" applyAlignment="1" applyProtection="1">
      <alignment horizontal="left" vertical="center" indent="1"/>
      <protection locked="0"/>
    </xf>
    <xf numFmtId="0" fontId="2" fillId="0" borderId="12" xfId="0" applyFont="1" applyBorder="1" applyAlignment="1" applyProtection="1">
      <alignment horizontal="left" vertical="center" indent="1"/>
      <protection locked="0"/>
    </xf>
    <xf numFmtId="0" fontId="2" fillId="0" borderId="13" xfId="0" applyFont="1" applyBorder="1" applyAlignment="1" applyProtection="1">
      <alignment horizontal="left" vertical="center" indent="1"/>
      <protection locked="0"/>
    </xf>
    <xf numFmtId="0" fontId="19" fillId="0" borderId="0" xfId="0" applyFont="1" applyAlignment="1">
      <alignment horizontal="left" vertical="top" wrapText="1"/>
    </xf>
    <xf numFmtId="0" fontId="2" fillId="0" borderId="0" xfId="0" applyFont="1" applyAlignment="1" applyProtection="1">
      <alignment horizontal="left" vertical="center"/>
      <protection locked="0"/>
    </xf>
    <xf numFmtId="0" fontId="32" fillId="0" borderId="0" xfId="0" applyFont="1" applyAlignment="1">
      <alignment horizontal="center"/>
    </xf>
    <xf numFmtId="0" fontId="27" fillId="0" borderId="7" xfId="1" applyFill="1" applyBorder="1" applyAlignment="1">
      <alignment horizontal="center" vertical="center" wrapText="1"/>
    </xf>
    <xf numFmtId="0" fontId="18" fillId="0" borderId="11" xfId="0" applyFont="1" applyBorder="1" applyAlignment="1" applyProtection="1">
      <alignment horizontal="left" vertical="center" wrapText="1" indent="1"/>
      <protection locked="0"/>
    </xf>
    <xf numFmtId="0" fontId="18" fillId="0" borderId="12" xfId="0" applyFont="1" applyBorder="1" applyAlignment="1" applyProtection="1">
      <alignment horizontal="left" vertical="center" wrapText="1" indent="1"/>
      <protection locked="0"/>
    </xf>
    <xf numFmtId="0" fontId="18" fillId="0" borderId="13" xfId="0" applyFont="1" applyBorder="1" applyAlignment="1" applyProtection="1">
      <alignment horizontal="left" vertical="center" wrapText="1" indent="1"/>
      <protection locked="0"/>
    </xf>
    <xf numFmtId="0" fontId="29" fillId="0" borderId="0" xfId="0" applyFont="1" applyAlignment="1">
      <alignment horizontal="right" wrapText="1"/>
    </xf>
    <xf numFmtId="0" fontId="29" fillId="0" borderId="11" xfId="0" applyFont="1" applyBorder="1" applyAlignment="1">
      <alignment horizontal="center"/>
    </xf>
    <xf numFmtId="0" fontId="29" fillId="0" borderId="12" xfId="0" applyFont="1" applyBorder="1" applyAlignment="1">
      <alignment horizontal="center"/>
    </xf>
    <xf numFmtId="0" fontId="29" fillId="0" borderId="13" xfId="0" applyFont="1" applyBorder="1" applyAlignment="1">
      <alignment horizontal="center"/>
    </xf>
    <xf numFmtId="0" fontId="29" fillId="0" borderId="0" xfId="0" applyFont="1" applyAlignment="1">
      <alignment horizontal="center"/>
    </xf>
    <xf numFmtId="0" fontId="45" fillId="0" borderId="11" xfId="0" applyFont="1" applyBorder="1" applyAlignment="1" applyProtection="1">
      <alignment horizontal="center" wrapText="1"/>
      <protection locked="0"/>
    </xf>
    <xf numFmtId="0" fontId="45" fillId="0" borderId="13" xfId="0" applyFont="1" applyBorder="1" applyAlignment="1" applyProtection="1">
      <alignment horizontal="center" wrapText="1"/>
      <protection locked="0"/>
    </xf>
    <xf numFmtId="0" fontId="2" fillId="0" borderId="11" xfId="0" applyFont="1" applyBorder="1" applyAlignment="1" applyProtection="1">
      <alignment horizontal="left" indent="1"/>
      <protection locked="0"/>
    </xf>
    <xf numFmtId="0" fontId="2" fillId="0" borderId="12" xfId="0" applyFont="1" applyBorder="1" applyAlignment="1" applyProtection="1">
      <alignment horizontal="left" indent="1"/>
      <protection locked="0"/>
    </xf>
    <xf numFmtId="0" fontId="2" fillId="0" borderId="13" xfId="0" applyFont="1" applyBorder="1" applyAlignment="1" applyProtection="1">
      <alignment horizontal="left" indent="1"/>
      <protection locked="0"/>
    </xf>
    <xf numFmtId="0" fontId="29" fillId="0" borderId="11" xfId="0" applyFont="1" applyBorder="1" applyAlignment="1" applyProtection="1">
      <alignment horizontal="center"/>
      <protection locked="0"/>
    </xf>
    <xf numFmtId="0" fontId="29" fillId="0" borderId="13" xfId="0" applyFont="1" applyBorder="1" applyAlignment="1" applyProtection="1">
      <alignment horizontal="center"/>
      <protection locked="0"/>
    </xf>
    <xf numFmtId="0" fontId="50" fillId="0" borderId="123" xfId="0" applyFont="1" applyBorder="1" applyAlignment="1" applyProtection="1">
      <alignment horizontal="left" vertical="top" wrapText="1" indent="1"/>
      <protection locked="0"/>
    </xf>
    <xf numFmtId="0" fontId="50" fillId="0" borderId="12" xfId="0" applyFont="1" applyBorder="1" applyAlignment="1" applyProtection="1">
      <alignment horizontal="left" vertical="top" wrapText="1" indent="1"/>
      <protection locked="0"/>
    </xf>
    <xf numFmtId="0" fontId="50" fillId="0" borderId="43" xfId="0" applyFont="1" applyBorder="1" applyAlignment="1" applyProtection="1">
      <alignment horizontal="left" vertical="top" wrapText="1" indent="1"/>
      <protection locked="0"/>
    </xf>
    <xf numFmtId="0" fontId="50" fillId="0" borderId="44" xfId="0" applyFont="1" applyBorder="1" applyAlignment="1" applyProtection="1">
      <alignment horizontal="left" vertical="top" wrapText="1" indent="1"/>
      <protection locked="0"/>
    </xf>
    <xf numFmtId="0" fontId="13" fillId="0" borderId="0" xfId="0" applyFont="1" applyAlignment="1">
      <alignment horizontal="right" vertical="center" indent="1"/>
    </xf>
    <xf numFmtId="0" fontId="13" fillId="0" borderId="0" xfId="0" applyFont="1" applyAlignment="1">
      <alignment horizontal="right" indent="1"/>
    </xf>
    <xf numFmtId="0" fontId="13" fillId="0" borderId="11" xfId="0" applyFont="1" applyBorder="1" applyAlignment="1">
      <alignment horizontal="center"/>
    </xf>
    <xf numFmtId="0" fontId="13" fillId="0" borderId="12" xfId="0" applyFont="1" applyBorder="1" applyAlignment="1">
      <alignment horizontal="center"/>
    </xf>
    <xf numFmtId="0" fontId="13" fillId="0" borderId="13" xfId="0" applyFont="1" applyBorder="1" applyAlignment="1">
      <alignment horizontal="center"/>
    </xf>
    <xf numFmtId="0" fontId="13" fillId="0" borderId="4" xfId="0" applyFont="1" applyBorder="1" applyAlignment="1">
      <alignment horizontal="center" vertical="center"/>
    </xf>
    <xf numFmtId="0" fontId="14" fillId="0" borderId="0" xfId="0" applyFont="1" applyAlignment="1">
      <alignment horizontal="center" vertical="center"/>
    </xf>
    <xf numFmtId="0" fontId="50" fillId="0" borderId="12" xfId="0" applyFont="1"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0" fillId="0" borderId="47" xfId="0" applyBorder="1" applyAlignment="1" applyProtection="1">
      <alignment horizontal="center" vertical="top" wrapText="1"/>
      <protection locked="0"/>
    </xf>
    <xf numFmtId="0" fontId="50" fillId="0" borderId="44" xfId="0" applyFont="1" applyBorder="1" applyAlignment="1" applyProtection="1">
      <alignment horizontal="left" vertical="top" wrapText="1"/>
      <protection locked="0"/>
    </xf>
    <xf numFmtId="0" fontId="0" fillId="0" borderId="44" xfId="0" applyBorder="1" applyAlignment="1" applyProtection="1">
      <alignment horizontal="left" vertical="top" wrapText="1"/>
      <protection locked="0"/>
    </xf>
    <xf numFmtId="0" fontId="0" fillId="0" borderId="45" xfId="0" applyBorder="1" applyAlignment="1" applyProtection="1">
      <alignment horizontal="left" vertical="top" wrapText="1"/>
      <protection locked="0"/>
    </xf>
    <xf numFmtId="0" fontId="10" fillId="2" borderId="18" xfId="0" applyFont="1" applyFill="1" applyBorder="1" applyAlignment="1">
      <alignment horizontal="center" vertical="center" wrapText="1"/>
    </xf>
    <xf numFmtId="0" fontId="119" fillId="0" borderId="9" xfId="0" applyFont="1" applyBorder="1" applyAlignment="1">
      <alignment horizontal="center" vertical="center" wrapText="1"/>
    </xf>
    <xf numFmtId="0" fontId="119" fillId="0" borderId="7" xfId="0" applyFont="1" applyBorder="1" applyAlignment="1">
      <alignment horizontal="center" vertical="center" wrapText="1"/>
    </xf>
    <xf numFmtId="0" fontId="119" fillId="0" borderId="8" xfId="0" applyFont="1" applyBorder="1" applyAlignment="1">
      <alignment horizontal="center" vertical="center" wrapText="1"/>
    </xf>
    <xf numFmtId="0" fontId="92" fillId="0" borderId="0" xfId="0" applyFont="1" applyAlignment="1">
      <alignment horizontal="center" vertical="center"/>
    </xf>
    <xf numFmtId="0" fontId="20" fillId="0" borderId="7" xfId="0" applyFont="1" applyBorder="1" applyAlignment="1">
      <alignment horizontal="left" vertical="center" wrapText="1" indent="1"/>
    </xf>
    <xf numFmtId="0" fontId="0" fillId="0" borderId="7" xfId="0" applyBorder="1" applyAlignment="1">
      <alignment horizontal="left" vertical="center" wrapText="1" indent="1"/>
    </xf>
    <xf numFmtId="0" fontId="89" fillId="0" borderId="0" xfId="0" applyFont="1" applyAlignment="1">
      <alignment horizontal="center"/>
    </xf>
    <xf numFmtId="0" fontId="2" fillId="0" borderId="12" xfId="0" applyFont="1" applyBorder="1" applyAlignment="1" applyProtection="1">
      <alignment horizontal="center"/>
      <protection locked="0"/>
    </xf>
    <xf numFmtId="0" fontId="19" fillId="0" borderId="0" xfId="0" applyFont="1" applyAlignment="1">
      <alignment horizontal="justify" vertical="center" wrapText="1"/>
    </xf>
    <xf numFmtId="0" fontId="10" fillId="0" borderId="0" xfId="0" applyFont="1" applyAlignment="1">
      <alignment horizontal="center" vertical="center" wrapText="1"/>
    </xf>
    <xf numFmtId="0" fontId="36" fillId="0" borderId="2" xfId="0" applyFont="1" applyBorder="1" applyAlignment="1">
      <alignment horizontal="center" wrapText="1"/>
    </xf>
    <xf numFmtId="0" fontId="36" fillId="0" borderId="0" xfId="0" applyFont="1" applyAlignment="1">
      <alignment horizontal="center" wrapText="1"/>
    </xf>
    <xf numFmtId="0" fontId="36" fillId="0" borderId="1" xfId="0" applyFont="1" applyBorder="1" applyAlignment="1">
      <alignment horizontal="center" wrapText="1"/>
    </xf>
    <xf numFmtId="0" fontId="2" fillId="0" borderId="0" xfId="0" applyFont="1" applyAlignment="1">
      <alignment horizontal="left" vertical="top" wrapText="1" indent="2"/>
    </xf>
    <xf numFmtId="0" fontId="2" fillId="0" borderId="1" xfId="0" applyFont="1" applyBorder="1" applyAlignment="1">
      <alignment horizontal="left" vertical="top" wrapText="1" indent="2"/>
    </xf>
    <xf numFmtId="0" fontId="94" fillId="0" borderId="22" xfId="0" applyFont="1" applyBorder="1" applyAlignment="1">
      <alignment horizontal="right" indent="1"/>
    </xf>
    <xf numFmtId="0" fontId="94" fillId="0" borderId="0" xfId="0" applyFont="1" applyAlignment="1">
      <alignment horizontal="right" indent="1"/>
    </xf>
    <xf numFmtId="0" fontId="94" fillId="0" borderId="10" xfId="0" applyFont="1" applyBorder="1" applyAlignment="1">
      <alignment horizontal="right" indent="1"/>
    </xf>
    <xf numFmtId="0" fontId="9" fillId="0" borderId="0" xfId="0" applyFont="1" applyAlignment="1">
      <alignment horizontal="left" vertical="center" wrapText="1" indent="1"/>
    </xf>
    <xf numFmtId="0" fontId="19" fillId="0" borderId="0" xfId="0" applyFont="1" applyAlignment="1">
      <alignment horizontal="justify" vertical="top" wrapText="1"/>
    </xf>
    <xf numFmtId="0" fontId="10" fillId="0" borderId="14" xfId="0" applyFont="1" applyBorder="1" applyAlignment="1">
      <alignment horizontal="center" vertical="center" wrapText="1"/>
    </xf>
    <xf numFmtId="0" fontId="3" fillId="0" borderId="14" xfId="0" applyFont="1" applyBorder="1" applyAlignment="1">
      <alignment horizontal="left" vertical="center" wrapText="1" indent="1"/>
    </xf>
    <xf numFmtId="0" fontId="0" fillId="0" borderId="0" xfId="0" applyAlignment="1">
      <alignment horizontal="left"/>
    </xf>
    <xf numFmtId="0" fontId="49" fillId="0" borderId="4" xfId="0" applyFont="1" applyBorder="1" applyAlignment="1">
      <alignment horizontal="center" wrapText="1"/>
    </xf>
    <xf numFmtId="0" fontId="49" fillId="0" borderId="46" xfId="0" applyFont="1" applyBorder="1" applyAlignment="1">
      <alignment horizontal="center" wrapText="1"/>
    </xf>
    <xf numFmtId="0" fontId="3" fillId="0" borderId="0" xfId="0" applyFont="1" applyAlignment="1">
      <alignment horizontal="left" vertical="center" wrapText="1" indent="1"/>
    </xf>
    <xf numFmtId="0" fontId="10" fillId="2" borderId="41"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90" fillId="0" borderId="0" xfId="0" applyFont="1" applyAlignment="1">
      <alignment horizontal="left" vertical="top" wrapText="1"/>
    </xf>
    <xf numFmtId="0" fontId="86" fillId="0" borderId="6" xfId="0" applyFont="1" applyBorder="1" applyAlignment="1">
      <alignment horizontal="center" vertical="center" wrapText="1"/>
    </xf>
    <xf numFmtId="0" fontId="9" fillId="3" borderId="0" xfId="0" applyFont="1" applyFill="1" applyAlignment="1">
      <alignment horizontal="right"/>
    </xf>
    <xf numFmtId="0" fontId="54" fillId="0" borderId="98" xfId="0" applyFont="1" applyBorder="1" applyAlignment="1">
      <alignment horizontal="center" vertical="center"/>
    </xf>
    <xf numFmtId="0" fontId="92" fillId="0" borderId="0" xfId="0" applyFont="1" applyAlignment="1">
      <alignment horizontal="left" vertical="top" wrapText="1"/>
    </xf>
    <xf numFmtId="0" fontId="14" fillId="0" borderId="0" xfId="0" applyFont="1" applyAlignment="1">
      <alignment horizontal="right"/>
    </xf>
    <xf numFmtId="0" fontId="14" fillId="0" borderId="11" xfId="0" applyFont="1" applyBorder="1" applyAlignment="1">
      <alignment horizontal="center"/>
    </xf>
    <xf numFmtId="0" fontId="14" fillId="0" borderId="12" xfId="0" applyFont="1" applyBorder="1" applyAlignment="1">
      <alignment horizontal="center"/>
    </xf>
    <xf numFmtId="0" fontId="14" fillId="0" borderId="13" xfId="0" applyFont="1" applyBorder="1" applyAlignment="1">
      <alignment horizontal="center"/>
    </xf>
    <xf numFmtId="0" fontId="13" fillId="0" borderId="0" xfId="0" applyFont="1" applyAlignment="1">
      <alignment horizontal="left" vertical="top" wrapText="1"/>
    </xf>
    <xf numFmtId="166" fontId="2" fillId="0" borderId="78" xfId="0" applyNumberFormat="1" applyFont="1" applyBorder="1" applyAlignment="1" applyProtection="1">
      <alignment horizontal="center" vertical="top"/>
      <protection locked="0"/>
    </xf>
    <xf numFmtId="166" fontId="2" fillId="0" borderId="12" xfId="0" applyNumberFormat="1" applyFont="1" applyBorder="1" applyAlignment="1" applyProtection="1">
      <alignment horizontal="center" vertical="top"/>
      <protection locked="0"/>
    </xf>
    <xf numFmtId="166" fontId="2" fillId="0" borderId="11" xfId="0" applyNumberFormat="1" applyFont="1" applyBorder="1" applyAlignment="1" applyProtection="1">
      <alignment horizontal="center" vertical="top"/>
      <protection locked="0"/>
    </xf>
    <xf numFmtId="14" fontId="2" fillId="0" borderId="23" xfId="0" applyNumberFormat="1" applyFont="1" applyBorder="1" applyAlignment="1" applyProtection="1">
      <alignment horizontal="center" vertical="top"/>
      <protection locked="0"/>
    </xf>
    <xf numFmtId="14" fontId="2" fillId="0" borderId="6" xfId="0" applyNumberFormat="1" applyFont="1" applyBorder="1" applyAlignment="1" applyProtection="1">
      <alignment horizontal="center" vertical="top"/>
      <protection locked="0"/>
    </xf>
    <xf numFmtId="14" fontId="2" fillId="0" borderId="89" xfId="0" applyNumberFormat="1" applyFont="1" applyBorder="1" applyAlignment="1" applyProtection="1">
      <alignment horizontal="center" vertical="top"/>
      <protection locked="0"/>
    </xf>
    <xf numFmtId="0" fontId="20" fillId="0" borderId="0" xfId="0" applyFont="1" applyAlignment="1">
      <alignment horizontal="center" vertical="center" wrapText="1"/>
    </xf>
    <xf numFmtId="0" fontId="73" fillId="0" borderId="0" xfId="0" applyFont="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3" fillId="0" borderId="0" xfId="0" applyFont="1" applyAlignment="1">
      <alignment horizontal="center"/>
    </xf>
    <xf numFmtId="0" fontId="53" fillId="0" borderId="11" xfId="0" applyFont="1" applyBorder="1" applyAlignment="1">
      <alignment horizontal="center"/>
    </xf>
    <xf numFmtId="0" fontId="53" fillId="0" borderId="12" xfId="0" applyFont="1" applyBorder="1" applyAlignment="1">
      <alignment horizontal="center"/>
    </xf>
    <xf numFmtId="0" fontId="53" fillId="0" borderId="13" xfId="0" applyFont="1" applyBorder="1" applyAlignment="1">
      <alignment horizontal="center"/>
    </xf>
    <xf numFmtId="14" fontId="2" fillId="0" borderId="74" xfId="0" applyNumberFormat="1" applyFont="1" applyBorder="1" applyAlignment="1" applyProtection="1">
      <alignment horizontal="center" vertical="top"/>
      <protection locked="0"/>
    </xf>
    <xf numFmtId="14" fontId="2" fillId="0" borderId="19" xfId="0" applyNumberFormat="1" applyFont="1" applyBorder="1" applyAlignment="1" applyProtection="1">
      <alignment horizontal="center" vertical="top"/>
      <protection locked="0"/>
    </xf>
    <xf numFmtId="14" fontId="2" fillId="0" borderId="80" xfId="0" applyNumberFormat="1" applyFont="1" applyBorder="1" applyAlignment="1" applyProtection="1">
      <alignment horizontal="center" vertical="top"/>
      <protection locked="0"/>
    </xf>
    <xf numFmtId="166" fontId="2" fillId="0" borderId="79" xfId="0" applyNumberFormat="1" applyFont="1" applyBorder="1" applyAlignment="1" applyProtection="1">
      <alignment horizontal="center" vertical="top"/>
      <protection locked="0"/>
    </xf>
    <xf numFmtId="166" fontId="2" fillId="0" borderId="19" xfId="0" applyNumberFormat="1" applyFont="1" applyBorder="1" applyAlignment="1" applyProtection="1">
      <alignment horizontal="center" vertical="top"/>
      <protection locked="0"/>
    </xf>
    <xf numFmtId="166" fontId="2" fillId="0" borderId="74" xfId="0" applyNumberFormat="1" applyFont="1" applyBorder="1" applyAlignment="1" applyProtection="1">
      <alignment horizontal="center" vertical="top"/>
      <protection locked="0"/>
    </xf>
    <xf numFmtId="166" fontId="2" fillId="0" borderId="75" xfId="0" applyNumberFormat="1" applyFont="1" applyBorder="1" applyAlignment="1" applyProtection="1">
      <alignment horizontal="center" vertical="top"/>
      <protection locked="0"/>
    </xf>
    <xf numFmtId="0" fontId="75" fillId="0" borderId="59" xfId="0" applyFont="1" applyBorder="1" applyAlignment="1">
      <alignment horizontal="center" vertical="center" wrapText="1"/>
    </xf>
    <xf numFmtId="0" fontId="75" fillId="0" borderId="20" xfId="0" applyFont="1" applyBorder="1" applyAlignment="1">
      <alignment horizontal="center" vertical="center" wrapText="1"/>
    </xf>
    <xf numFmtId="0" fontId="75" fillId="0" borderId="68" xfId="0" applyFont="1" applyBorder="1" applyAlignment="1">
      <alignment horizontal="center" vertical="center" wrapText="1"/>
    </xf>
    <xf numFmtId="0" fontId="75" fillId="0" borderId="76" xfId="0" applyFont="1" applyBorder="1" applyAlignment="1">
      <alignment horizontal="center" vertical="center" wrapText="1"/>
    </xf>
    <xf numFmtId="0" fontId="75" fillId="0" borderId="31" xfId="0" applyFont="1" applyBorder="1" applyAlignment="1">
      <alignment horizontal="center" vertical="center" wrapText="1"/>
    </xf>
    <xf numFmtId="0" fontId="75" fillId="0" borderId="77" xfId="0" applyFont="1" applyBorder="1" applyAlignment="1">
      <alignment horizontal="center" vertical="center" wrapText="1"/>
    </xf>
    <xf numFmtId="0" fontId="9" fillId="0" borderId="16" xfId="0" applyFont="1" applyBorder="1" applyAlignment="1">
      <alignment horizontal="center" vertical="center"/>
    </xf>
    <xf numFmtId="0" fontId="9" fillId="0" borderId="18" xfId="0" applyFont="1" applyBorder="1" applyAlignment="1">
      <alignment horizontal="center" vertical="center"/>
    </xf>
    <xf numFmtId="0" fontId="9" fillId="0" borderId="17" xfId="0" applyFont="1" applyBorder="1" applyAlignment="1">
      <alignment horizontal="center" vertical="center"/>
    </xf>
    <xf numFmtId="0" fontId="73" fillId="0" borderId="38" xfId="0" applyFont="1" applyBorder="1" applyAlignment="1">
      <alignment horizontal="center" vertical="center"/>
    </xf>
    <xf numFmtId="0" fontId="73" fillId="0" borderId="39" xfId="0" applyFont="1" applyBorder="1" applyAlignment="1">
      <alignment horizontal="center" vertical="center"/>
    </xf>
    <xf numFmtId="0" fontId="10" fillId="2" borderId="4" xfId="0" applyFont="1" applyFill="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xf>
    <xf numFmtId="0" fontId="73" fillId="0" borderId="38" xfId="0" applyFont="1" applyBorder="1" applyAlignment="1">
      <alignment horizontal="center" vertical="center" wrapText="1"/>
    </xf>
    <xf numFmtId="0" fontId="73" fillId="0" borderId="40" xfId="0" applyFont="1" applyBorder="1" applyAlignment="1">
      <alignment horizontal="center" vertical="center" wrapText="1"/>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73" fillId="0" borderId="39" xfId="0" applyFont="1" applyBorder="1" applyAlignment="1">
      <alignment horizontal="center" vertical="center" wrapText="1"/>
    </xf>
    <xf numFmtId="0" fontId="75" fillId="0" borderId="25" xfId="0" applyFont="1" applyBorder="1" applyAlignment="1">
      <alignment horizontal="center" vertical="center" wrapText="1"/>
    </xf>
    <xf numFmtId="0" fontId="75" fillId="0" borderId="4" xfId="0" applyFont="1" applyBorder="1" applyAlignment="1">
      <alignment horizontal="center" vertical="center" wrapText="1"/>
    </xf>
    <xf numFmtId="0" fontId="75" fillId="0" borderId="85" xfId="0" applyFont="1" applyBorder="1" applyAlignment="1">
      <alignment horizontal="center" vertical="center"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14" xfId="0" applyFont="1" applyBorder="1" applyAlignment="1">
      <alignment horizontal="left" vertical="center" wrapText="1" indent="1"/>
    </xf>
    <xf numFmtId="0" fontId="9" fillId="0" borderId="0" xfId="0" applyFont="1" applyAlignment="1">
      <alignment horizontal="center"/>
    </xf>
    <xf numFmtId="0" fontId="2" fillId="0" borderId="0" xfId="0" applyFont="1" applyAlignment="1">
      <alignment horizontal="left" wrapText="1"/>
    </xf>
    <xf numFmtId="0" fontId="2" fillId="0" borderId="0" xfId="0" applyFont="1" applyAlignment="1">
      <alignment horizontal="left"/>
    </xf>
    <xf numFmtId="0" fontId="45" fillId="0" borderId="0" xfId="0" applyFont="1" applyAlignment="1">
      <alignment horizontal="left" vertical="center" wrapText="1"/>
    </xf>
    <xf numFmtId="0" fontId="76" fillId="5" borderId="57" xfId="0" applyFont="1" applyFill="1" applyBorder="1" applyAlignment="1">
      <alignment horizontal="left" vertical="center" wrapText="1" indent="1"/>
    </xf>
    <xf numFmtId="0" fontId="0" fillId="0" borderId="51" xfId="0" applyBorder="1" applyAlignment="1" applyProtection="1">
      <alignment horizontal="left" vertical="top" wrapText="1" indent="1"/>
      <protection locked="0"/>
    </xf>
    <xf numFmtId="0" fontId="0" fillId="0" borderId="52" xfId="0" applyBorder="1" applyAlignment="1" applyProtection="1">
      <alignment horizontal="left" vertical="top" wrapText="1" indent="1"/>
      <protection locked="0"/>
    </xf>
    <xf numFmtId="0" fontId="0" fillId="0" borderId="53" xfId="0" applyBorder="1" applyAlignment="1" applyProtection="1">
      <alignment horizontal="left" vertical="top" wrapText="1" indent="1"/>
      <protection locked="0"/>
    </xf>
    <xf numFmtId="14" fontId="0" fillId="0" borderId="16" xfId="0" applyNumberFormat="1" applyBorder="1" applyAlignment="1">
      <alignment horizontal="center"/>
    </xf>
    <xf numFmtId="0" fontId="0" fillId="0" borderId="17" xfId="0" applyBorder="1" applyAlignment="1">
      <alignment horizontal="center"/>
    </xf>
    <xf numFmtId="0" fontId="53" fillId="0" borderId="0" xfId="0" applyFont="1" applyAlignment="1">
      <alignment horizontal="right" indent="1"/>
    </xf>
    <xf numFmtId="0" fontId="53" fillId="0" borderId="1" xfId="0" applyFont="1" applyBorder="1" applyAlignment="1">
      <alignment horizontal="right" indent="1"/>
    </xf>
    <xf numFmtId="0" fontId="53" fillId="0" borderId="16" xfId="0" applyFont="1" applyBorder="1" applyAlignment="1" applyProtection="1">
      <alignment horizontal="center"/>
      <protection locked="0"/>
    </xf>
    <xf numFmtId="0" fontId="0" fillId="0" borderId="18" xfId="0" applyBorder="1" applyAlignment="1" applyProtection="1">
      <alignment horizontal="center"/>
      <protection locked="0"/>
    </xf>
    <xf numFmtId="0" fontId="0" fillId="0" borderId="17" xfId="0" applyBorder="1" applyAlignment="1" applyProtection="1">
      <alignment horizontal="center"/>
      <protection locked="0"/>
    </xf>
    <xf numFmtId="0" fontId="34" fillId="0" borderId="18" xfId="0" applyFont="1" applyBorder="1" applyAlignment="1">
      <alignment horizontal="left" vertical="center" wrapText="1" indent="1"/>
    </xf>
    <xf numFmtId="0" fontId="34" fillId="0" borderId="17" xfId="0" applyFont="1" applyBorder="1" applyAlignment="1">
      <alignment horizontal="left" vertical="center" wrapText="1" indent="1"/>
    </xf>
    <xf numFmtId="0" fontId="45" fillId="0" borderId="0" xfId="0" applyFont="1" applyAlignment="1">
      <alignment horizontal="left" vertical="center" wrapText="1" indent="1"/>
    </xf>
    <xf numFmtId="0" fontId="45" fillId="0" borderId="0" xfId="0" applyFont="1" applyAlignment="1">
      <alignment horizontal="left" vertical="top" wrapText="1" indent="1"/>
    </xf>
    <xf numFmtId="0" fontId="49" fillId="0" borderId="41" xfId="0" applyFont="1" applyBorder="1" applyAlignment="1" applyProtection="1">
      <alignment horizontal="left" wrapText="1" indent="1"/>
      <protection locked="0"/>
    </xf>
    <xf numFmtId="0" fontId="49" fillId="0" borderId="14" xfId="0" applyFont="1" applyBorder="1" applyAlignment="1" applyProtection="1">
      <alignment horizontal="left" wrapText="1" indent="1"/>
      <protection locked="0"/>
    </xf>
    <xf numFmtId="0" fontId="49" fillId="0" borderId="42" xfId="0" applyFont="1" applyBorder="1" applyAlignment="1" applyProtection="1">
      <alignment horizontal="left" wrapText="1" indent="1"/>
      <protection locked="0"/>
    </xf>
    <xf numFmtId="0" fontId="49" fillId="0" borderId="2" xfId="0" applyFont="1" applyBorder="1" applyAlignment="1" applyProtection="1">
      <alignment horizontal="left" wrapText="1" indent="1"/>
      <protection locked="0"/>
    </xf>
    <xf numFmtId="0" fontId="49" fillId="0" borderId="0" xfId="0" applyFont="1" applyAlignment="1" applyProtection="1">
      <alignment horizontal="left" wrapText="1" indent="1"/>
      <protection locked="0"/>
    </xf>
    <xf numFmtId="0" fontId="49" fillId="0" borderId="1" xfId="0" applyFont="1" applyBorder="1" applyAlignment="1" applyProtection="1">
      <alignment horizontal="left" wrapText="1" indent="1"/>
      <protection locked="0"/>
    </xf>
    <xf numFmtId="0" fontId="49" fillId="0" borderId="9" xfId="0" applyFont="1" applyBorder="1" applyAlignment="1" applyProtection="1">
      <alignment horizontal="left" wrapText="1" indent="1"/>
      <protection locked="0"/>
    </xf>
    <xf numFmtId="0" fontId="49" fillId="0" borderId="7" xfId="0" applyFont="1" applyBorder="1" applyAlignment="1" applyProtection="1">
      <alignment horizontal="left" wrapText="1" indent="1"/>
      <protection locked="0"/>
    </xf>
    <xf numFmtId="0" fontId="49" fillId="0" borderId="8" xfId="0" applyFont="1" applyBorder="1" applyAlignment="1" applyProtection="1">
      <alignment horizontal="left" wrapText="1" indent="1"/>
      <protection locked="0"/>
    </xf>
    <xf numFmtId="0" fontId="13" fillId="0" borderId="11" xfId="0" applyFont="1" applyBorder="1" applyAlignment="1" applyProtection="1">
      <alignment horizontal="center"/>
      <protection locked="0"/>
    </xf>
    <xf numFmtId="0" fontId="13" fillId="0" borderId="12" xfId="0" applyFont="1" applyBorder="1" applyAlignment="1" applyProtection="1">
      <alignment horizontal="center"/>
      <protection locked="0"/>
    </xf>
    <xf numFmtId="0" fontId="13" fillId="0" borderId="13" xfId="0" applyFont="1" applyBorder="1" applyAlignment="1" applyProtection="1">
      <alignment horizontal="center"/>
      <protection locked="0"/>
    </xf>
    <xf numFmtId="0" fontId="54" fillId="0" borderId="48" xfId="0" applyFont="1" applyBorder="1" applyAlignment="1">
      <alignment horizontal="center" vertical="center"/>
    </xf>
    <xf numFmtId="0" fontId="14" fillId="0" borderId="11" xfId="0" applyFont="1" applyBorder="1" applyAlignment="1" applyProtection="1">
      <alignment horizontal="center"/>
      <protection locked="0"/>
    </xf>
    <xf numFmtId="0" fontId="14" fillId="0" borderId="12" xfId="0" applyFont="1" applyBorder="1" applyAlignment="1" applyProtection="1">
      <alignment horizontal="center"/>
      <protection locked="0"/>
    </xf>
    <xf numFmtId="0" fontId="14" fillId="0" borderId="13" xfId="0" applyFont="1" applyBorder="1" applyAlignment="1" applyProtection="1">
      <alignment horizontal="center"/>
      <protection locked="0"/>
    </xf>
    <xf numFmtId="0" fontId="13" fillId="0" borderId="0" xfId="0" applyFont="1" applyAlignment="1">
      <alignment horizontal="center" vertical="top" wrapText="1"/>
    </xf>
    <xf numFmtId="0" fontId="72" fillId="7" borderId="63" xfId="0" applyFont="1" applyFill="1" applyBorder="1" applyAlignment="1">
      <alignment horizontal="center" vertical="center" wrapText="1"/>
    </xf>
    <xf numFmtId="0" fontId="44" fillId="0" borderId="0" xfId="0" applyFont="1" applyAlignment="1">
      <alignment horizontal="right" vertical="center" wrapText="1"/>
    </xf>
    <xf numFmtId="165" fontId="2" fillId="0" borderId="11" xfId="0" applyNumberFormat="1" applyFont="1" applyBorder="1" applyAlignment="1">
      <alignment horizontal="center" vertical="center" wrapText="1"/>
    </xf>
    <xf numFmtId="165" fontId="2" fillId="0" borderId="12" xfId="0" applyNumberFormat="1" applyFont="1" applyBorder="1" applyAlignment="1">
      <alignment horizontal="center" vertical="center" wrapText="1"/>
    </xf>
    <xf numFmtId="165" fontId="2" fillId="0" borderId="13" xfId="0" applyNumberFormat="1" applyFont="1" applyBorder="1" applyAlignment="1">
      <alignment horizontal="center" vertical="center" wrapText="1"/>
    </xf>
    <xf numFmtId="0" fontId="1" fillId="5" borderId="38" xfId="0" applyFont="1" applyFill="1" applyBorder="1" applyAlignment="1">
      <alignment horizontal="left" vertical="center" wrapText="1" indent="1"/>
    </xf>
    <xf numFmtId="0" fontId="1" fillId="5" borderId="39" xfId="0" applyFont="1" applyFill="1" applyBorder="1" applyAlignment="1">
      <alignment horizontal="left" vertical="center" wrapText="1" indent="1"/>
    </xf>
    <xf numFmtId="0" fontId="1" fillId="5" borderId="40" xfId="0" applyFont="1" applyFill="1" applyBorder="1" applyAlignment="1">
      <alignment horizontal="left" vertical="center" wrapText="1" indent="1"/>
    </xf>
    <xf numFmtId="0" fontId="51" fillId="0" borderId="0" xfId="0" applyFont="1" applyAlignment="1">
      <alignment horizontal="center" vertical="center" wrapText="1"/>
    </xf>
    <xf numFmtId="0" fontId="51" fillId="0" borderId="1" xfId="0" applyFont="1" applyBorder="1" applyAlignment="1">
      <alignment horizontal="center" vertical="center" wrapText="1"/>
    </xf>
    <xf numFmtId="0" fontId="52" fillId="0" borderId="2" xfId="0" applyFont="1" applyBorder="1" applyAlignment="1">
      <alignment horizontal="right" vertical="center" wrapText="1" indent="1"/>
    </xf>
    <xf numFmtId="0" fontId="52" fillId="0" borderId="0" xfId="0" applyFont="1" applyAlignment="1">
      <alignment horizontal="right" vertical="center" wrapText="1" indent="1"/>
    </xf>
    <xf numFmtId="0" fontId="49" fillId="0" borderId="43" xfId="0" applyFont="1" applyBorder="1" applyAlignment="1">
      <alignment horizontal="left" vertical="top" wrapText="1"/>
    </xf>
    <xf numFmtId="0" fontId="49" fillId="0" borderId="44" xfId="0" applyFont="1" applyBorder="1" applyAlignment="1">
      <alignment horizontal="left" vertical="top" wrapText="1"/>
    </xf>
    <xf numFmtId="0" fontId="49" fillId="0" borderId="45" xfId="0" applyFont="1" applyBorder="1" applyAlignment="1">
      <alignment horizontal="left" vertical="top" wrapText="1"/>
    </xf>
    <xf numFmtId="0" fontId="89" fillId="0" borderId="0" xfId="0" applyFont="1" applyAlignment="1">
      <alignment horizontal="center" vertical="center"/>
    </xf>
    <xf numFmtId="0" fontId="92" fillId="0" borderId="1" xfId="0" applyFont="1" applyBorder="1" applyAlignment="1">
      <alignment horizontal="center" vertical="center"/>
    </xf>
    <xf numFmtId="0" fontId="42" fillId="0" borderId="0" xfId="0" applyFont="1" applyAlignment="1">
      <alignment horizontal="center" vertical="center"/>
    </xf>
    <xf numFmtId="0" fontId="42" fillId="0" borderId="1" xfId="0" applyFont="1" applyBorder="1" applyAlignment="1">
      <alignment horizontal="center" vertical="center"/>
    </xf>
    <xf numFmtId="0" fontId="36" fillId="0" borderId="2" xfId="0" applyFont="1" applyBorder="1" applyAlignment="1">
      <alignment horizontal="center"/>
    </xf>
    <xf numFmtId="0" fontId="36" fillId="0" borderId="0" xfId="0" applyFont="1" applyAlignment="1">
      <alignment horizontal="center"/>
    </xf>
    <xf numFmtId="0" fontId="36" fillId="0" borderId="1" xfId="0" applyFont="1" applyBorder="1" applyAlignment="1">
      <alignment horizontal="center"/>
    </xf>
    <xf numFmtId="14" fontId="2" fillId="0" borderId="15" xfId="0" applyNumberFormat="1" applyFont="1" applyBorder="1" applyAlignment="1" applyProtection="1">
      <alignment horizontal="left" vertical="top" indent="1"/>
      <protection locked="0"/>
    </xf>
    <xf numFmtId="14" fontId="2" fillId="0" borderId="34" xfId="0" applyNumberFormat="1" applyFont="1" applyBorder="1" applyAlignment="1" applyProtection="1">
      <alignment horizontal="left" vertical="top" indent="1"/>
      <protection locked="0"/>
    </xf>
    <xf numFmtId="14" fontId="2" fillId="0" borderId="72" xfId="0" applyNumberFormat="1" applyFont="1" applyBorder="1" applyAlignment="1" applyProtection="1">
      <alignment horizontal="left" vertical="top" indent="1"/>
      <protection locked="0"/>
    </xf>
    <xf numFmtId="14" fontId="2" fillId="0" borderId="100" xfId="0" applyNumberFormat="1" applyFont="1" applyBorder="1" applyAlignment="1" applyProtection="1">
      <alignment horizontal="left" vertical="top" indent="1"/>
      <protection locked="0"/>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18" fillId="0" borderId="11" xfId="0" applyFont="1" applyBorder="1" applyAlignment="1" applyProtection="1">
      <alignment horizontal="left" vertical="top" wrapText="1" indent="1"/>
      <protection locked="0"/>
    </xf>
    <xf numFmtId="0" fontId="18" fillId="0" borderId="12" xfId="0" applyFont="1" applyBorder="1" applyAlignment="1" applyProtection="1">
      <alignment horizontal="left" vertical="top" wrapText="1" indent="1"/>
      <protection locked="0"/>
    </xf>
    <xf numFmtId="0" fontId="18" fillId="0" borderId="13" xfId="0" applyFont="1" applyBorder="1" applyAlignment="1" applyProtection="1">
      <alignment horizontal="left" vertical="top" wrapText="1" indent="1"/>
      <protection locked="0"/>
    </xf>
    <xf numFmtId="0" fontId="9" fillId="0" borderId="0" xfId="0" applyFont="1" applyAlignment="1">
      <alignment horizontal="right" vertical="center"/>
    </xf>
    <xf numFmtId="0" fontId="6" fillId="0" borderId="2" xfId="0" applyFont="1" applyBorder="1" applyAlignment="1">
      <alignment horizontal="left" vertical="center" indent="1"/>
    </xf>
    <xf numFmtId="0" fontId="6" fillId="0" borderId="0" xfId="0" applyFont="1" applyAlignment="1">
      <alignment horizontal="left" vertical="center" indent="1"/>
    </xf>
    <xf numFmtId="0" fontId="99" fillId="0" borderId="111" xfId="0" applyFont="1" applyBorder="1" applyAlignment="1">
      <alignment horizontal="center" vertical="center" wrapText="1"/>
    </xf>
    <xf numFmtId="0" fontId="75" fillId="0" borderId="111" xfId="0" applyFont="1" applyBorder="1" applyAlignment="1">
      <alignment horizontal="center" vertical="center" wrapText="1"/>
    </xf>
    <xf numFmtId="0" fontId="75" fillId="0" borderId="112" xfId="0" applyFont="1" applyBorder="1" applyAlignment="1">
      <alignment horizontal="center" vertical="center" wrapText="1"/>
    </xf>
    <xf numFmtId="14" fontId="2" fillId="0" borderId="67" xfId="0" applyNumberFormat="1" applyFont="1" applyBorder="1" applyAlignment="1" applyProtection="1">
      <alignment horizontal="left" vertical="top" indent="1"/>
      <protection locked="0"/>
    </xf>
    <xf numFmtId="14" fontId="2" fillId="0" borderId="101" xfId="0" applyNumberFormat="1" applyFont="1" applyBorder="1" applyAlignment="1" applyProtection="1">
      <alignment horizontal="left" vertical="top" indent="1"/>
      <protection locked="0"/>
    </xf>
    <xf numFmtId="0" fontId="2" fillId="0" borderId="33" xfId="0" applyFont="1" applyBorder="1" applyAlignment="1" applyProtection="1">
      <alignment horizontal="left" vertical="top" indent="1"/>
      <protection locked="0"/>
    </xf>
    <xf numFmtId="0" fontId="2" fillId="0" borderId="15" xfId="0" applyFont="1" applyBorder="1" applyAlignment="1" applyProtection="1">
      <alignment horizontal="left" vertical="top" indent="1"/>
      <protection locked="0"/>
    </xf>
    <xf numFmtId="0" fontId="2" fillId="0" borderId="99" xfId="0" applyFont="1" applyBorder="1" applyAlignment="1" applyProtection="1">
      <alignment horizontal="left" vertical="top" indent="1"/>
      <protection locked="0"/>
    </xf>
    <xf numFmtId="0" fontId="2" fillId="0" borderId="72" xfId="0" applyFont="1" applyBorder="1" applyAlignment="1" applyProtection="1">
      <alignment horizontal="left" vertical="top" indent="1"/>
      <protection locked="0"/>
    </xf>
    <xf numFmtId="14" fontId="2" fillId="0" borderId="11" xfId="0" applyNumberFormat="1" applyFont="1" applyBorder="1" applyAlignment="1" applyProtection="1">
      <alignment horizontal="center" vertical="top"/>
      <protection locked="0"/>
    </xf>
    <xf numFmtId="14" fontId="2" fillId="0" borderId="13" xfId="0" applyNumberFormat="1" applyFont="1" applyBorder="1" applyAlignment="1" applyProtection="1">
      <alignment horizontal="center" vertical="top"/>
      <protection locked="0"/>
    </xf>
    <xf numFmtId="14" fontId="2" fillId="0" borderId="75" xfId="0" applyNumberFormat="1" applyFont="1" applyBorder="1" applyAlignment="1" applyProtection="1">
      <alignment horizontal="center" vertical="top"/>
      <protection locked="0"/>
    </xf>
    <xf numFmtId="14" fontId="2" fillId="0" borderId="25" xfId="0" applyNumberFormat="1" applyFont="1" applyBorder="1" applyAlignment="1" applyProtection="1">
      <alignment horizontal="center" vertical="top"/>
      <protection locked="0"/>
    </xf>
    <xf numFmtId="14" fontId="2" fillId="0" borderId="26" xfId="0" applyNumberFormat="1" applyFont="1" applyBorder="1" applyAlignment="1" applyProtection="1">
      <alignment horizontal="center" vertical="top"/>
      <protection locked="0"/>
    </xf>
    <xf numFmtId="0" fontId="2" fillId="0" borderId="109" xfId="0" applyFont="1" applyBorder="1" applyAlignment="1" applyProtection="1">
      <alignment horizontal="left" vertical="top" indent="1"/>
      <protection locked="0"/>
    </xf>
    <xf numFmtId="0" fontId="2" fillId="0" borderId="67" xfId="0" applyFont="1" applyBorder="1" applyAlignment="1" applyProtection="1">
      <alignment horizontal="left" vertical="top" indent="1"/>
      <protection locked="0"/>
    </xf>
    <xf numFmtId="0" fontId="74" fillId="0" borderId="86" xfId="0" applyFont="1" applyBorder="1" applyAlignment="1">
      <alignment horizontal="center" vertical="center"/>
    </xf>
    <xf numFmtId="0" fontId="74" fillId="0" borderId="87" xfId="0" applyFont="1" applyBorder="1" applyAlignment="1">
      <alignment horizontal="center" vertical="center"/>
    </xf>
    <xf numFmtId="0" fontId="74" fillId="0" borderId="71" xfId="0" applyFont="1" applyBorder="1" applyAlignment="1">
      <alignment horizontal="center" vertical="center"/>
    </xf>
    <xf numFmtId="0" fontId="74" fillId="0" borderId="72" xfId="0" applyFont="1" applyBorder="1" applyAlignment="1">
      <alignment horizontal="center" vertical="center"/>
    </xf>
    <xf numFmtId="0" fontId="75" fillId="0" borderId="87" xfId="0" applyFont="1" applyBorder="1" applyAlignment="1">
      <alignment horizontal="center" vertical="center" wrapText="1"/>
    </xf>
    <xf numFmtId="0" fontId="75" fillId="0" borderId="72" xfId="0" applyFont="1" applyBorder="1" applyAlignment="1">
      <alignment horizontal="center" vertical="center" wrapText="1"/>
    </xf>
    <xf numFmtId="0" fontId="75" fillId="0" borderId="23" xfId="0" applyFont="1" applyBorder="1" applyAlignment="1">
      <alignment horizontal="center" vertical="center" wrapText="1"/>
    </xf>
    <xf numFmtId="0" fontId="75" fillId="0" borderId="22" xfId="0" applyFont="1" applyBorder="1" applyAlignment="1">
      <alignment horizontal="center" vertical="center" wrapText="1"/>
    </xf>
    <xf numFmtId="0" fontId="18" fillId="9" borderId="106" xfId="0" applyFont="1" applyFill="1" applyBorder="1" applyAlignment="1">
      <alignment horizontal="center" vertical="center" wrapText="1"/>
    </xf>
    <xf numFmtId="0" fontId="18" fillId="9" borderId="103" xfId="0" applyFont="1" applyFill="1" applyBorder="1" applyAlignment="1">
      <alignment horizontal="center" vertical="center" wrapText="1"/>
    </xf>
    <xf numFmtId="0" fontId="18" fillId="9" borderId="107" xfId="0" applyFont="1" applyFill="1" applyBorder="1" applyAlignment="1">
      <alignment horizontal="center" vertical="center" wrapText="1"/>
    </xf>
    <xf numFmtId="0" fontId="18" fillId="9" borderId="104" xfId="0" applyFont="1" applyFill="1" applyBorder="1" applyAlignment="1">
      <alignment horizontal="center" vertical="center" wrapText="1"/>
    </xf>
    <xf numFmtId="0" fontId="18" fillId="9" borderId="108" xfId="0" applyFont="1" applyFill="1" applyBorder="1" applyAlignment="1">
      <alignment horizontal="center" vertical="center" wrapText="1"/>
    </xf>
    <xf numFmtId="0" fontId="18" fillId="9" borderId="105" xfId="0" applyFont="1" applyFill="1" applyBorder="1" applyAlignment="1">
      <alignment horizontal="center" vertical="center" wrapText="1"/>
    </xf>
    <xf numFmtId="0" fontId="9" fillId="0" borderId="110" xfId="0" applyFont="1" applyBorder="1" applyAlignment="1">
      <alignment horizontal="center" vertical="center"/>
    </xf>
    <xf numFmtId="0" fontId="9" fillId="0" borderId="55" xfId="0" applyFont="1" applyBorder="1" applyAlignment="1">
      <alignment horizontal="center" vertical="center"/>
    </xf>
    <xf numFmtId="0" fontId="9" fillId="0" borderId="82" xfId="0" applyFont="1" applyBorder="1" applyAlignment="1">
      <alignment horizontal="center" vertical="center"/>
    </xf>
    <xf numFmtId="0" fontId="9" fillId="0" borderId="0" xfId="0" applyFont="1" applyAlignment="1">
      <alignment horizontal="right" vertical="center" indent="1"/>
    </xf>
    <xf numFmtId="0" fontId="19" fillId="0" borderId="4" xfId="0" applyFont="1" applyBorder="1" applyAlignment="1">
      <alignment horizontal="left" vertical="center" wrapText="1"/>
    </xf>
    <xf numFmtId="0" fontId="29" fillId="0" borderId="12" xfId="0" applyFont="1" applyBorder="1" applyAlignment="1" applyProtection="1">
      <alignment horizontal="center"/>
      <protection locked="0"/>
    </xf>
    <xf numFmtId="0" fontId="2" fillId="0" borderId="0" xfId="0" applyFont="1" applyAlignment="1">
      <alignment horizontal="right" vertical="center"/>
    </xf>
    <xf numFmtId="0" fontId="9" fillId="9" borderId="20" xfId="0" applyFont="1" applyFill="1" applyBorder="1" applyAlignment="1">
      <alignment horizontal="center" vertical="center" wrapText="1"/>
    </xf>
    <xf numFmtId="0" fontId="93" fillId="0" borderId="0" xfId="0" applyFont="1" applyAlignment="1">
      <alignment horizontal="center" vertical="center"/>
    </xf>
    <xf numFmtId="0" fontId="133" fillId="0" borderId="0" xfId="0" applyFont="1" applyAlignment="1">
      <alignment horizontal="center"/>
    </xf>
    <xf numFmtId="0" fontId="9" fillId="10" borderId="20" xfId="0" applyFont="1" applyFill="1" applyBorder="1" applyAlignment="1">
      <alignment horizontal="left" vertical="center" wrapText="1"/>
    </xf>
    <xf numFmtId="0" fontId="22" fillId="8" borderId="0" xfId="0" applyFont="1" applyFill="1" applyAlignment="1">
      <alignment horizontal="center" vertical="center" wrapText="1"/>
    </xf>
    <xf numFmtId="0" fontId="0" fillId="4" borderId="0" xfId="0" applyFill="1" applyAlignment="1">
      <alignment horizontal="left" wrapText="1" indent="1"/>
    </xf>
    <xf numFmtId="0" fontId="62" fillId="0" borderId="0" xfId="1" applyFont="1" applyFill="1" applyAlignment="1" applyProtection="1">
      <alignment horizontal="center" vertical="center" wrapText="1"/>
      <protection locked="0"/>
    </xf>
    <xf numFmtId="0" fontId="59" fillId="0" borderId="0" xfId="0" applyFont="1" applyAlignment="1">
      <alignment horizontal="center" wrapText="1"/>
    </xf>
    <xf numFmtId="0" fontId="0" fillId="0" borderId="0" xfId="0" applyAlignment="1">
      <alignment horizontal="center" vertical="center" wrapText="1"/>
    </xf>
    <xf numFmtId="0" fontId="64" fillId="0" borderId="0" xfId="0" applyFont="1" applyAlignment="1">
      <alignment horizontal="center" vertical="center" wrapText="1"/>
    </xf>
    <xf numFmtId="0" fontId="63" fillId="4" borderId="0" xfId="0" applyFont="1" applyFill="1" applyAlignment="1">
      <alignment horizontal="center" vertical="center" wrapText="1"/>
    </xf>
    <xf numFmtId="0" fontId="2" fillId="0" borderId="0" xfId="0" applyFont="1" applyAlignment="1">
      <alignment horizontal="left" vertical="top" wrapText="1" indent="1"/>
    </xf>
    <xf numFmtId="0" fontId="2" fillId="0" borderId="1" xfId="0" applyFont="1" applyBorder="1" applyAlignment="1">
      <alignment horizontal="left" vertical="top" wrapText="1" indent="1"/>
    </xf>
    <xf numFmtId="0" fontId="4" fillId="0" borderId="0" xfId="0" applyFont="1" applyAlignment="1">
      <alignment horizontal="center" vertical="center"/>
    </xf>
    <xf numFmtId="0" fontId="128" fillId="0" borderId="0" xfId="0" applyFont="1" applyAlignment="1">
      <alignment horizontal="center"/>
    </xf>
    <xf numFmtId="0" fontId="2" fillId="0" borderId="0" xfId="0" applyFont="1" applyAlignment="1">
      <alignment horizontal="center" vertical="center" wrapText="1"/>
    </xf>
    <xf numFmtId="0" fontId="2" fillId="0" borderId="2" xfId="0" applyFont="1" applyBorder="1" applyAlignment="1">
      <alignment horizontal="center"/>
    </xf>
    <xf numFmtId="0" fontId="42" fillId="0" borderId="2" xfId="0" applyFont="1" applyBorder="1" applyAlignment="1">
      <alignment horizontal="center"/>
    </xf>
    <xf numFmtId="0" fontId="42" fillId="0" borderId="0" xfId="0" applyFont="1" applyAlignment="1">
      <alignment horizontal="center"/>
    </xf>
    <xf numFmtId="0" fontId="42" fillId="0" borderId="1" xfId="0" applyFont="1" applyBorder="1" applyAlignment="1">
      <alignment horizontal="center"/>
    </xf>
    <xf numFmtId="0" fontId="2" fillId="0" borderId="16"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9" fillId="0" borderId="59" xfId="0" applyFont="1" applyBorder="1" applyAlignment="1">
      <alignment horizontal="left" vertical="center" wrapText="1" indent="1"/>
    </xf>
    <xf numFmtId="0" fontId="9" fillId="0" borderId="20" xfId="0" applyFont="1" applyBorder="1" applyAlignment="1">
      <alignment horizontal="left" vertical="center" wrapText="1" indent="1"/>
    </xf>
    <xf numFmtId="0" fontId="9" fillId="0" borderId="60" xfId="0" applyFont="1" applyBorder="1" applyAlignment="1">
      <alignment horizontal="left" vertical="center" wrapText="1" indent="1"/>
    </xf>
    <xf numFmtId="0" fontId="2" fillId="0" borderId="27" xfId="0" applyFont="1" applyBorder="1" applyAlignment="1" applyProtection="1">
      <alignment horizontal="center"/>
      <protection locked="0"/>
    </xf>
    <xf numFmtId="0" fontId="2" fillId="0" borderId="49" xfId="0" applyFont="1" applyBorder="1" applyAlignment="1" applyProtection="1">
      <alignment horizontal="center"/>
      <protection locked="0"/>
    </xf>
    <xf numFmtId="0" fontId="2" fillId="0" borderId="50" xfId="0" applyFont="1" applyBorder="1" applyAlignment="1" applyProtection="1">
      <alignment horizontal="center"/>
      <protection locked="0"/>
    </xf>
    <xf numFmtId="0" fontId="9" fillId="0" borderId="0" xfId="0" applyFont="1" applyAlignment="1">
      <alignment horizontal="right" vertical="center" indent="3"/>
    </xf>
    <xf numFmtId="0" fontId="20" fillId="0" borderId="0" xfId="0" applyFont="1" applyAlignment="1">
      <alignment horizontal="left" vertical="top" wrapText="1"/>
    </xf>
    <xf numFmtId="0" fontId="32" fillId="0" borderId="0" xfId="0" applyFont="1" applyAlignment="1">
      <alignment horizontal="left" vertical="top" wrapText="1" indent="2"/>
    </xf>
    <xf numFmtId="0" fontId="20" fillId="0" borderId="0" xfId="0" applyFont="1" applyAlignment="1">
      <alignment horizontal="left" wrapText="1"/>
    </xf>
    <xf numFmtId="0" fontId="96" fillId="0" borderId="0" xfId="0" applyFont="1" applyAlignment="1">
      <alignment horizontal="left" vertical="center" wrapText="1" indent="1"/>
    </xf>
    <xf numFmtId="0" fontId="19" fillId="0" borderId="0" xfId="0" applyFont="1" applyAlignment="1">
      <alignment horizontal="left" wrapText="1"/>
    </xf>
    <xf numFmtId="0" fontId="48" fillId="6" borderId="51" xfId="0" applyFont="1" applyFill="1" applyBorder="1" applyAlignment="1">
      <alignment horizontal="left" vertical="center" wrapText="1" indent="1"/>
    </xf>
    <xf numFmtId="0" fontId="48" fillId="6" borderId="52" xfId="0" applyFont="1" applyFill="1" applyBorder="1" applyAlignment="1">
      <alignment horizontal="left" vertical="center" wrapText="1" indent="1"/>
    </xf>
    <xf numFmtId="0" fontId="48" fillId="6" borderId="53" xfId="0" applyFont="1" applyFill="1" applyBorder="1" applyAlignment="1">
      <alignment horizontal="left" vertical="center" wrapText="1" indent="1"/>
    </xf>
    <xf numFmtId="0" fontId="86" fillId="0" borderId="54" xfId="0" applyFont="1" applyBorder="1" applyAlignment="1" applyProtection="1">
      <alignment horizontal="left" vertical="top" wrapText="1" indent="1"/>
      <protection locked="0"/>
    </xf>
    <xf numFmtId="0" fontId="86" fillId="0" borderId="55" xfId="0" applyFont="1" applyBorder="1" applyAlignment="1" applyProtection="1">
      <alignment horizontal="left" vertical="top" wrapText="1" indent="1"/>
      <protection locked="0"/>
    </xf>
    <xf numFmtId="0" fontId="86" fillId="0" borderId="56" xfId="0" applyFont="1" applyBorder="1" applyAlignment="1" applyProtection="1">
      <alignment horizontal="left" vertical="top" wrapText="1" indent="1"/>
      <protection locked="0"/>
    </xf>
    <xf numFmtId="0" fontId="86" fillId="0" borderId="2" xfId="0" applyFont="1" applyBorder="1" applyAlignment="1" applyProtection="1">
      <alignment horizontal="left" vertical="top" wrapText="1" indent="1"/>
      <protection locked="0"/>
    </xf>
    <xf numFmtId="0" fontId="86" fillId="0" borderId="0" xfId="0" applyFont="1" applyAlignment="1" applyProtection="1">
      <alignment horizontal="left" vertical="top" wrapText="1" indent="1"/>
      <protection locked="0"/>
    </xf>
    <xf numFmtId="0" fontId="86" fillId="0" borderId="1" xfId="0" applyFont="1" applyBorder="1" applyAlignment="1" applyProtection="1">
      <alignment horizontal="left" vertical="top" wrapText="1" indent="1"/>
      <protection locked="0"/>
    </xf>
    <xf numFmtId="0" fontId="86" fillId="0" borderId="9" xfId="0" applyFont="1" applyBorder="1" applyAlignment="1" applyProtection="1">
      <alignment horizontal="left" vertical="top" wrapText="1" indent="1"/>
      <protection locked="0"/>
    </xf>
    <xf numFmtId="0" fontId="86" fillId="0" borderId="7" xfId="0" applyFont="1" applyBorder="1" applyAlignment="1" applyProtection="1">
      <alignment horizontal="left" vertical="top" wrapText="1" indent="1"/>
      <protection locked="0"/>
    </xf>
    <xf numFmtId="0" fontId="86" fillId="0" borderId="8" xfId="0" applyFont="1" applyBorder="1" applyAlignment="1" applyProtection="1">
      <alignment horizontal="left" vertical="top" wrapText="1" indent="1"/>
      <protection locked="0"/>
    </xf>
    <xf numFmtId="0" fontId="0" fillId="0" borderId="57" xfId="0" applyBorder="1" applyAlignment="1">
      <alignment horizontal="left"/>
    </xf>
    <xf numFmtId="0" fontId="10" fillId="2" borderId="38" xfId="0" applyFont="1" applyFill="1" applyBorder="1" applyAlignment="1">
      <alignment horizontal="center" vertical="center" wrapText="1"/>
    </xf>
    <xf numFmtId="0" fontId="10" fillId="2" borderId="58" xfId="0" applyFont="1" applyFill="1" applyBorder="1" applyAlignment="1">
      <alignment horizontal="center" vertical="center" wrapText="1"/>
    </xf>
    <xf numFmtId="0" fontId="44" fillId="0" borderId="22" xfId="0" applyFont="1" applyBorder="1" applyAlignment="1">
      <alignment horizontal="right" vertical="center" wrapText="1"/>
    </xf>
    <xf numFmtId="0" fontId="45" fillId="0" borderId="27" xfId="0" applyFont="1" applyBorder="1" applyAlignment="1" applyProtection="1">
      <alignment horizontal="left" wrapText="1" indent="1"/>
      <protection locked="0"/>
    </xf>
    <xf numFmtId="0" fontId="45" fillId="0" borderId="16" xfId="0" applyFont="1" applyBorder="1" applyAlignment="1" applyProtection="1">
      <alignment horizontal="center" wrapText="1"/>
      <protection locked="0"/>
    </xf>
    <xf numFmtId="0" fontId="45" fillId="0" borderId="17" xfId="0" applyFont="1" applyBorder="1" applyAlignment="1" applyProtection="1">
      <alignment horizontal="center" wrapText="1"/>
      <protection locked="0"/>
    </xf>
    <xf numFmtId="0" fontId="9" fillId="0" borderId="22" xfId="0" applyFont="1" applyBorder="1" applyAlignment="1">
      <alignment horizontal="right" vertical="center" indent="1"/>
    </xf>
    <xf numFmtId="0" fontId="0" fillId="0" borderId="4" xfId="0" applyBorder="1" applyAlignment="1" applyProtection="1">
      <alignment horizontal="center"/>
      <protection locked="0"/>
    </xf>
    <xf numFmtId="0" fontId="53" fillId="0" borderId="0" xfId="0" applyFont="1" applyAlignment="1">
      <alignment horizontal="left" wrapText="1"/>
    </xf>
    <xf numFmtId="0" fontId="0" fillId="0" borderId="4" xfId="0" applyBorder="1" applyAlignment="1">
      <alignment horizontal="center"/>
    </xf>
    <xf numFmtId="0" fontId="53" fillId="0" borderId="0" xfId="0" applyFont="1" applyAlignment="1">
      <alignment horizontal="center" vertical="center"/>
    </xf>
    <xf numFmtId="14" fontId="0" fillId="3" borderId="16" xfId="0" applyNumberFormat="1" applyFill="1" applyBorder="1" applyAlignment="1">
      <alignment horizontal="center"/>
    </xf>
    <xf numFmtId="0" fontId="0" fillId="3" borderId="17" xfId="0" applyFill="1" applyBorder="1" applyAlignment="1">
      <alignment horizontal="center"/>
    </xf>
    <xf numFmtId="0" fontId="9" fillId="3" borderId="0" xfId="0" applyFont="1" applyFill="1" applyAlignment="1">
      <alignment horizontal="right" vertical="center"/>
    </xf>
    <xf numFmtId="14" fontId="0" fillId="0" borderId="16" xfId="0" applyNumberFormat="1" applyBorder="1" applyAlignment="1" applyProtection="1">
      <alignment horizontal="center"/>
      <protection locked="0"/>
    </xf>
    <xf numFmtId="0" fontId="87" fillId="0" borderId="0" xfId="0" applyFont="1" applyAlignment="1">
      <alignment horizontal="left" vertical="justify" wrapText="1" indent="1"/>
    </xf>
    <xf numFmtId="0" fontId="53" fillId="0" borderId="11" xfId="0" applyFont="1" applyBorder="1" applyAlignment="1" applyProtection="1">
      <alignment horizontal="center"/>
      <protection locked="0"/>
    </xf>
    <xf numFmtId="0" fontId="53" fillId="0" borderId="12" xfId="0" applyFont="1" applyBorder="1" applyAlignment="1" applyProtection="1">
      <alignment horizontal="center"/>
      <protection locked="0"/>
    </xf>
    <xf numFmtId="0" fontId="53" fillId="0" borderId="13" xfId="0" applyFont="1" applyBorder="1" applyAlignment="1" applyProtection="1">
      <alignment horizontal="center"/>
      <protection locked="0"/>
    </xf>
    <xf numFmtId="14" fontId="2" fillId="3" borderId="11" xfId="0" applyNumberFormat="1"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0" fillId="0" borderId="12" xfId="0" applyBorder="1" applyAlignment="1" applyProtection="1">
      <alignment horizontal="center"/>
      <protection locked="0"/>
    </xf>
    <xf numFmtId="0" fontId="123" fillId="0" borderId="0" xfId="0" applyFont="1" applyAlignment="1">
      <alignment horizontal="left" vertical="center" wrapText="1"/>
    </xf>
    <xf numFmtId="0" fontId="102" fillId="0" borderId="6" xfId="0" applyFont="1" applyBorder="1" applyAlignment="1">
      <alignment horizontal="center" vertical="center"/>
    </xf>
    <xf numFmtId="0" fontId="55" fillId="0" borderId="0" xfId="0" applyFont="1" applyAlignment="1">
      <alignment horizontal="left" wrapText="1" indent="2"/>
    </xf>
    <xf numFmtId="0" fontId="49" fillId="0" borderId="54" xfId="0" applyFont="1" applyBorder="1" applyAlignment="1" applyProtection="1">
      <alignment horizontal="left" vertical="top" wrapText="1" indent="1"/>
      <protection locked="0"/>
    </xf>
    <xf numFmtId="0" fontId="49" fillId="0" borderId="55" xfId="0" applyFont="1" applyBorder="1" applyAlignment="1" applyProtection="1">
      <alignment horizontal="left" vertical="top" wrapText="1" indent="1"/>
      <protection locked="0"/>
    </xf>
    <xf numFmtId="0" fontId="49" fillId="0" borderId="56" xfId="0" applyFont="1" applyBorder="1" applyAlignment="1" applyProtection="1">
      <alignment horizontal="left" vertical="top" wrapText="1" indent="1"/>
      <protection locked="0"/>
    </xf>
    <xf numFmtId="0" fontId="49" fillId="0" borderId="2" xfId="0" applyFont="1" applyBorder="1" applyAlignment="1" applyProtection="1">
      <alignment horizontal="left" vertical="top" wrapText="1" indent="1"/>
      <protection locked="0"/>
    </xf>
    <xf numFmtId="0" fontId="49" fillId="0" borderId="0" xfId="0" applyFont="1" applyAlignment="1" applyProtection="1">
      <alignment horizontal="left" vertical="top" wrapText="1" indent="1"/>
      <protection locked="0"/>
    </xf>
    <xf numFmtId="0" fontId="49" fillId="0" borderId="1" xfId="0" applyFont="1" applyBorder="1" applyAlignment="1" applyProtection="1">
      <alignment horizontal="left" vertical="top" wrapText="1" indent="1"/>
      <protection locked="0"/>
    </xf>
    <xf numFmtId="0" fontId="49" fillId="0" borderId="9" xfId="0" applyFont="1" applyBorder="1" applyAlignment="1" applyProtection="1">
      <alignment horizontal="left" vertical="top" wrapText="1" indent="1"/>
      <protection locked="0"/>
    </xf>
    <xf numFmtId="0" fontId="49" fillId="0" borderId="7" xfId="0" applyFont="1" applyBorder="1" applyAlignment="1" applyProtection="1">
      <alignment horizontal="left" vertical="top" wrapText="1" indent="1"/>
      <protection locked="0"/>
    </xf>
    <xf numFmtId="0" fontId="49" fillId="0" borderId="8" xfId="0" applyFont="1" applyBorder="1" applyAlignment="1" applyProtection="1">
      <alignment horizontal="left" vertical="top" wrapText="1" indent="1"/>
      <protection locked="0"/>
    </xf>
    <xf numFmtId="0" fontId="10" fillId="2" borderId="5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59" fillId="0" borderId="0" xfId="0" applyFont="1" applyAlignment="1">
      <alignment horizontal="left" vertical="center" wrapText="1"/>
    </xf>
    <xf numFmtId="0" fontId="78" fillId="0" borderId="36" xfId="0" applyFont="1" applyBorder="1" applyAlignment="1" applyProtection="1">
      <alignment horizontal="left" vertical="center" wrapText="1" indent="1"/>
      <protection locked="0"/>
    </xf>
    <xf numFmtId="0" fontId="78" fillId="0" borderId="37" xfId="0" applyFont="1" applyBorder="1" applyAlignment="1" applyProtection="1">
      <alignment horizontal="left" vertical="center" wrapText="1" indent="1"/>
      <protection locked="0"/>
    </xf>
    <xf numFmtId="0" fontId="105" fillId="0" borderId="14" xfId="0" applyFont="1" applyBorder="1" applyAlignment="1">
      <alignment horizontal="center" wrapText="1"/>
    </xf>
    <xf numFmtId="0" fontId="134" fillId="0" borderId="0" xfId="0" applyFont="1" applyAlignment="1">
      <alignment horizontal="right" vertical="center" wrapText="1" indent="1"/>
    </xf>
    <xf numFmtId="0" fontId="78" fillId="0" borderId="72" xfId="0" applyFont="1" applyBorder="1" applyAlignment="1" applyProtection="1">
      <alignment horizontal="left" vertical="center" wrapText="1" indent="1"/>
      <protection locked="0"/>
    </xf>
    <xf numFmtId="0" fontId="78" fillId="0" borderId="100" xfId="0" applyFont="1" applyBorder="1" applyAlignment="1" applyProtection="1">
      <alignment horizontal="left" vertical="center" wrapText="1" indent="1"/>
      <protection locked="0"/>
    </xf>
    <xf numFmtId="0" fontId="82" fillId="2" borderId="51" xfId="0" applyFont="1" applyFill="1" applyBorder="1" applyAlignment="1">
      <alignment horizontal="center" vertical="center" wrapText="1"/>
    </xf>
    <xf numFmtId="0" fontId="82" fillId="2" borderId="52" xfId="0" applyFont="1" applyFill="1" applyBorder="1" applyAlignment="1">
      <alignment horizontal="center" vertical="center" wrapText="1"/>
    </xf>
    <xf numFmtId="0" fontId="82" fillId="2" borderId="53" xfId="0" applyFont="1" applyFill="1" applyBorder="1" applyAlignment="1">
      <alignment horizontal="center" vertical="center" wrapText="1"/>
    </xf>
    <xf numFmtId="0" fontId="78" fillId="0" borderId="87" xfId="0" applyFont="1" applyBorder="1" applyAlignment="1" applyProtection="1">
      <alignment horizontal="left" vertical="center" wrapText="1" indent="1"/>
      <protection locked="0"/>
    </xf>
    <xf numFmtId="0" fontId="78" fillId="0" borderId="116" xfId="0" applyFont="1" applyBorder="1" applyAlignment="1" applyProtection="1">
      <alignment horizontal="left" vertical="center" wrapText="1" indent="1"/>
      <protection locked="0"/>
    </xf>
    <xf numFmtId="0" fontId="78" fillId="0" borderId="12" xfId="0" applyFont="1" applyBorder="1" applyAlignment="1" applyProtection="1">
      <alignment horizontal="center" vertical="center" wrapText="1"/>
      <protection locked="0"/>
    </xf>
    <xf numFmtId="0" fontId="78" fillId="0" borderId="47" xfId="0" applyFont="1" applyBorder="1" applyAlignment="1" applyProtection="1">
      <alignment horizontal="center" vertical="center" wrapText="1"/>
      <protection locked="0"/>
    </xf>
    <xf numFmtId="0" fontId="78" fillId="0" borderId="44" xfId="0" applyFont="1" applyBorder="1" applyAlignment="1" applyProtection="1">
      <alignment horizontal="center" vertical="center" wrapText="1"/>
      <protection locked="0"/>
    </xf>
    <xf numFmtId="0" fontId="78" fillId="0" borderId="45" xfId="0" applyFont="1" applyBorder="1" applyAlignment="1" applyProtection="1">
      <alignment horizontal="center" vertical="center" wrapText="1"/>
      <protection locked="0"/>
    </xf>
    <xf numFmtId="0" fontId="80" fillId="0" borderId="2" xfId="0" applyFont="1" applyBorder="1" applyAlignment="1">
      <alignment horizontal="center" vertical="center" wrapText="1"/>
    </xf>
    <xf numFmtId="0" fontId="80" fillId="0" borderId="0" xfId="0" applyFont="1" applyAlignment="1">
      <alignment horizontal="center" vertical="center" wrapText="1"/>
    </xf>
    <xf numFmtId="0" fontId="78" fillId="0" borderId="119" xfId="0" applyFont="1" applyBorder="1" applyAlignment="1" applyProtection="1">
      <alignment horizontal="center" vertical="center" wrapText="1"/>
      <protection locked="0"/>
    </xf>
    <xf numFmtId="0" fontId="78" fillId="0" borderId="87" xfId="0" applyFont="1" applyBorder="1" applyAlignment="1" applyProtection="1">
      <alignment horizontal="center" vertical="center" wrapText="1"/>
      <protection locked="0"/>
    </xf>
    <xf numFmtId="0" fontId="78" fillId="0" borderId="15" xfId="0" applyFont="1" applyBorder="1" applyAlignment="1" applyProtection="1">
      <alignment horizontal="center" vertical="center" wrapText="1"/>
      <protection locked="0"/>
    </xf>
    <xf numFmtId="0" fontId="78" fillId="0" borderId="15" xfId="0" applyFont="1" applyBorder="1" applyAlignment="1" applyProtection="1">
      <alignment horizontal="left" vertical="center" wrapText="1" indent="1"/>
      <protection locked="0"/>
    </xf>
    <xf numFmtId="0" fontId="78" fillId="0" borderId="34" xfId="0" applyFont="1" applyBorder="1" applyAlignment="1" applyProtection="1">
      <alignment horizontal="left" vertical="center" wrapText="1" indent="1"/>
      <protection locked="0"/>
    </xf>
    <xf numFmtId="0" fontId="78" fillId="0" borderId="102" xfId="0" applyFont="1" applyBorder="1" applyAlignment="1" applyProtection="1">
      <alignment horizontal="left" vertical="center" wrapText="1" indent="1"/>
      <protection locked="0"/>
    </xf>
    <xf numFmtId="0" fontId="78" fillId="0" borderId="118" xfId="0" applyFont="1" applyBorder="1" applyAlignment="1" applyProtection="1">
      <alignment horizontal="left" vertical="center" wrapText="1" indent="1"/>
      <protection locked="0"/>
    </xf>
    <xf numFmtId="0" fontId="78" fillId="0" borderId="123" xfId="0" applyFont="1" applyBorder="1" applyAlignment="1" applyProtection="1">
      <alignment horizontal="left" vertical="center" wrapText="1" indent="1"/>
      <protection locked="0"/>
    </xf>
    <xf numFmtId="0" fontId="78" fillId="0" borderId="13" xfId="0" applyFont="1" applyBorder="1" applyAlignment="1" applyProtection="1">
      <alignment horizontal="left" vertical="center" wrapText="1" indent="1"/>
      <protection locked="0"/>
    </xf>
    <xf numFmtId="0" fontId="104" fillId="0" borderId="2" xfId="0" applyFont="1" applyBorder="1" applyAlignment="1">
      <alignment horizontal="center" vertical="center" wrapText="1"/>
    </xf>
    <xf numFmtId="0" fontId="104" fillId="0" borderId="0" xfId="0" applyFont="1" applyAlignment="1">
      <alignment horizontal="center" vertical="center" wrapText="1"/>
    </xf>
    <xf numFmtId="0" fontId="81" fillId="0" borderId="57" xfId="0" applyFont="1" applyBorder="1" applyAlignment="1">
      <alignment horizontal="right" vertical="center" wrapText="1" indent="1"/>
    </xf>
    <xf numFmtId="0" fontId="103" fillId="0" borderId="2" xfId="0" applyFont="1" applyBorder="1" applyAlignment="1">
      <alignment horizontal="center" vertical="center" wrapText="1"/>
    </xf>
    <xf numFmtId="0" fontId="103" fillId="0" borderId="0" xfId="0" applyFont="1" applyAlignment="1">
      <alignment horizontal="center" vertical="center" wrapText="1"/>
    </xf>
    <xf numFmtId="0" fontId="78" fillId="0" borderId="120" xfId="0" applyFont="1" applyBorder="1" applyAlignment="1" applyProtection="1">
      <alignment horizontal="center" vertical="center" wrapText="1"/>
      <protection locked="0"/>
    </xf>
    <xf numFmtId="0" fontId="79" fillId="2" borderId="83" xfId="0" applyFont="1" applyFill="1" applyBorder="1" applyAlignment="1">
      <alignment horizontal="center" vertical="center" wrapText="1"/>
    </xf>
    <xf numFmtId="0" fontId="79" fillId="2" borderId="57" xfId="0" applyFont="1" applyFill="1" applyBorder="1" applyAlignment="1">
      <alignment horizontal="center" vertical="center" wrapText="1"/>
    </xf>
    <xf numFmtId="0" fontId="79" fillId="2" borderId="84" xfId="0" applyFont="1" applyFill="1" applyBorder="1" applyAlignment="1">
      <alignment horizontal="center" vertical="center" wrapText="1"/>
    </xf>
    <xf numFmtId="0" fontId="82" fillId="2" borderId="81" xfId="0" applyFont="1" applyFill="1" applyBorder="1" applyAlignment="1">
      <alignment horizontal="center" vertical="center" wrapText="1"/>
    </xf>
    <xf numFmtId="0" fontId="82" fillId="2" borderId="55" xfId="0" applyFont="1" applyFill="1" applyBorder="1" applyAlignment="1">
      <alignment horizontal="center" vertical="center" wrapText="1"/>
    </xf>
    <xf numFmtId="0" fontId="82" fillId="2" borderId="82" xfId="0" applyFont="1" applyFill="1" applyBorder="1" applyAlignment="1">
      <alignment horizontal="center" vertical="center" wrapText="1"/>
    </xf>
    <xf numFmtId="0" fontId="114" fillId="8" borderId="130" xfId="0" applyFont="1" applyFill="1" applyBorder="1" applyAlignment="1">
      <alignment horizontal="center" vertical="center" wrapText="1"/>
    </xf>
    <xf numFmtId="0" fontId="114" fillId="8" borderId="122" xfId="0" applyFont="1" applyFill="1" applyBorder="1" applyAlignment="1">
      <alignment horizontal="center" vertical="center" wrapText="1"/>
    </xf>
    <xf numFmtId="0" fontId="78" fillId="0" borderId="19" xfId="0" applyFont="1" applyBorder="1" applyAlignment="1" applyProtection="1">
      <alignment horizontal="center" vertical="center" wrapText="1"/>
      <protection locked="0"/>
    </xf>
    <xf numFmtId="0" fontId="78" fillId="0" borderId="121" xfId="0" applyFont="1" applyBorder="1" applyAlignment="1" applyProtection="1">
      <alignment horizontal="center" vertical="center" wrapText="1"/>
      <protection locked="0"/>
    </xf>
    <xf numFmtId="0" fontId="78" fillId="0" borderId="131" xfId="0" applyFont="1" applyBorder="1" applyAlignment="1" applyProtection="1">
      <alignment horizontal="left" vertical="center" wrapText="1" indent="1"/>
      <protection locked="0"/>
    </xf>
    <xf numFmtId="0" fontId="78" fillId="0" borderId="75" xfId="0" applyFont="1" applyBorder="1" applyAlignment="1" applyProtection="1">
      <alignment horizontal="left" vertical="center" wrapText="1" indent="1"/>
      <protection locked="0"/>
    </xf>
    <xf numFmtId="0" fontId="78" fillId="0" borderId="11" xfId="0" applyFont="1" applyBorder="1" applyAlignment="1" applyProtection="1">
      <alignment horizontal="center" vertical="center" wrapText="1"/>
      <protection locked="0"/>
    </xf>
    <xf numFmtId="0" fontId="78" fillId="0" borderId="13" xfId="0" applyFont="1" applyBorder="1" applyAlignment="1" applyProtection="1">
      <alignment horizontal="center" vertical="center" wrapText="1"/>
      <protection locked="0"/>
    </xf>
    <xf numFmtId="0" fontId="78" fillId="0" borderId="11" xfId="0" applyFont="1" applyBorder="1" applyAlignment="1">
      <alignment horizontal="center" vertical="center" wrapText="1"/>
    </xf>
    <xf numFmtId="0" fontId="78" fillId="0" borderId="13" xfId="0" applyFont="1" applyBorder="1" applyAlignment="1">
      <alignment horizontal="center" vertical="center" wrapText="1"/>
    </xf>
    <xf numFmtId="0" fontId="83" fillId="0" borderId="55" xfId="0" applyFont="1" applyBorder="1" applyAlignment="1">
      <alignment horizontal="center" vertical="center" wrapText="1"/>
    </xf>
    <xf numFmtId="0" fontId="83" fillId="0" borderId="0" xfId="0" applyFont="1" applyAlignment="1">
      <alignment horizontal="center" vertical="center" wrapText="1"/>
    </xf>
    <xf numFmtId="0" fontId="101" fillId="0" borderId="55" xfId="0" applyFont="1" applyBorder="1" applyAlignment="1">
      <alignment horizontal="center" wrapText="1"/>
    </xf>
    <xf numFmtId="0" fontId="1" fillId="3" borderId="7" xfId="0" applyFont="1" applyFill="1" applyBorder="1" applyAlignment="1">
      <alignment horizontal="center" vertical="center" wrapText="1"/>
    </xf>
    <xf numFmtId="0" fontId="111" fillId="3" borderId="127" xfId="0" applyFont="1" applyFill="1" applyBorder="1" applyAlignment="1">
      <alignment horizontal="center" vertical="center"/>
    </xf>
    <xf numFmtId="0" fontId="111" fillId="3" borderId="128" xfId="0" applyFont="1" applyFill="1" applyBorder="1" applyAlignment="1">
      <alignment horizontal="center" vertical="center"/>
    </xf>
    <xf numFmtId="0" fontId="111" fillId="3" borderId="129" xfId="0" applyFont="1" applyFill="1" applyBorder="1" applyAlignment="1">
      <alignment horizontal="center" vertical="center"/>
    </xf>
    <xf numFmtId="0" fontId="124" fillId="15" borderId="0" xfId="2" applyFont="1" applyAlignment="1">
      <alignment horizontal="center" vertical="center" wrapText="1"/>
    </xf>
    <xf numFmtId="0" fontId="112" fillId="7" borderId="0" xfId="0" applyFont="1" applyFill="1" applyAlignment="1">
      <alignment horizontal="center" vertical="center" wrapText="1"/>
    </xf>
    <xf numFmtId="0" fontId="37" fillId="0" borderId="0" xfId="0" applyFont="1" applyAlignment="1">
      <alignment horizontal="center" vertical="center"/>
    </xf>
    <xf numFmtId="0" fontId="37" fillId="0" borderId="33" xfId="0" applyFont="1" applyBorder="1" applyAlignment="1">
      <alignment vertical="center" wrapText="1"/>
    </xf>
    <xf numFmtId="0" fontId="37" fillId="0" borderId="15" xfId="0" applyFont="1" applyBorder="1" applyAlignment="1">
      <alignment vertical="center" wrapText="1"/>
    </xf>
    <xf numFmtId="0" fontId="37" fillId="0" borderId="34" xfId="0" applyFont="1" applyBorder="1" applyAlignment="1">
      <alignment vertical="center" wrapText="1"/>
    </xf>
    <xf numFmtId="0" fontId="40" fillId="0" borderId="0" xfId="0" applyFont="1" applyAlignment="1">
      <alignment horizont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9" fillId="0" borderId="12" xfId="0" applyFont="1" applyBorder="1" applyAlignment="1">
      <alignment horizontal="left" vertical="center" wrapText="1"/>
    </xf>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3" fillId="0" borderId="16" xfId="0" applyFont="1" applyBorder="1" applyAlignment="1">
      <alignment horizontal="left" vertical="center" wrapText="1"/>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center" vertical="center"/>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165" fontId="2" fillId="0" borderId="11" xfId="0" applyNumberFormat="1" applyFont="1" applyBorder="1" applyAlignment="1" applyProtection="1">
      <alignment horizontal="center" vertical="top"/>
      <protection locked="0"/>
    </xf>
    <xf numFmtId="165" fontId="2" fillId="0" borderId="13" xfId="0" applyNumberFormat="1" applyFont="1" applyBorder="1" applyAlignment="1" applyProtection="1">
      <alignment horizontal="center" vertical="top"/>
      <protection locked="0"/>
    </xf>
    <xf numFmtId="165" fontId="2" fillId="0" borderId="15" xfId="0" applyNumberFormat="1" applyFont="1" applyBorder="1" applyAlignment="1" applyProtection="1">
      <alignment horizontal="center" vertical="top"/>
      <protection locked="0"/>
    </xf>
    <xf numFmtId="165" fontId="2" fillId="0" borderId="11" xfId="0" applyNumberFormat="1" applyFont="1" applyBorder="1" applyAlignment="1" applyProtection="1">
      <alignment horizontal="center" vertical="top"/>
      <protection locked="0"/>
    </xf>
    <xf numFmtId="165" fontId="2" fillId="0" borderId="13" xfId="0" applyNumberFormat="1" applyFont="1" applyBorder="1" applyAlignment="1" applyProtection="1">
      <alignment horizontal="center" vertical="top"/>
      <protection locked="0"/>
    </xf>
  </cellXfs>
  <cellStyles count="3">
    <cellStyle name="Hyperlink" xfId="1" builtinId="8"/>
    <cellStyle name="Neutral" xfId="2" builtinId="28"/>
    <cellStyle name="Normal" xfId="0" builtinId="0"/>
  </cellStyles>
  <dxfs count="150">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ont>
        <b/>
        <i val="0"/>
        <color rgb="FF3F752B"/>
      </font>
    </dxf>
    <dxf>
      <font>
        <b/>
        <i val="0"/>
        <color rgb="FFFF0000"/>
      </font>
    </dxf>
    <dxf>
      <fill>
        <patternFill>
          <bgColor theme="8" tint="0.79998168889431442"/>
        </patternFill>
      </fill>
    </dxf>
    <dxf>
      <fill>
        <patternFill>
          <bgColor theme="8" tint="0.79998168889431442"/>
        </patternFill>
      </fill>
    </dxf>
    <dxf>
      <font>
        <b/>
        <i val="0"/>
        <color rgb="FF3F752B"/>
      </font>
    </dxf>
    <dxf>
      <font>
        <b/>
        <i val="0"/>
        <color rgb="FFFF0000"/>
      </font>
    </dxf>
    <dxf>
      <font>
        <b/>
        <i val="0"/>
        <color rgb="FF3F752B"/>
      </font>
    </dxf>
    <dxf>
      <font>
        <b/>
        <i val="0"/>
        <color rgb="FFFF0000"/>
      </font>
    </dxf>
    <dxf>
      <fill>
        <patternFill>
          <bgColor theme="8" tint="0.79998168889431442"/>
        </patternFill>
      </fill>
    </dxf>
    <dxf>
      <fill>
        <patternFill>
          <bgColor theme="8" tint="0.79998168889431442"/>
        </patternFill>
      </fill>
    </dxf>
    <dxf>
      <font>
        <b/>
        <i val="0"/>
        <color rgb="FF3F752B"/>
      </font>
    </dxf>
    <dxf>
      <font>
        <b/>
        <i val="0"/>
        <color rgb="FFFF0000"/>
      </font>
    </dxf>
    <dxf>
      <font>
        <b/>
        <i val="0"/>
        <color rgb="FFFF0000"/>
      </font>
    </dxf>
    <dxf>
      <fill>
        <patternFill>
          <bgColor theme="8" tint="0.79998168889431442"/>
        </patternFill>
      </fill>
    </dxf>
    <dxf>
      <font>
        <b/>
        <i val="0"/>
        <color rgb="FF3F752B"/>
      </font>
    </dxf>
    <dxf>
      <font>
        <b/>
        <i val="0"/>
        <color rgb="FFFF0000"/>
      </font>
    </dxf>
    <dxf>
      <fill>
        <patternFill>
          <bgColor theme="8" tint="0.79998168889431442"/>
        </patternFill>
      </fill>
    </dxf>
    <dxf>
      <font>
        <b/>
        <i val="0"/>
        <color rgb="FF3F752B"/>
      </font>
    </dxf>
    <dxf>
      <font>
        <b/>
        <i val="0"/>
        <color rgb="FF3F752B"/>
      </font>
    </dxf>
    <dxf>
      <font>
        <b/>
        <i val="0"/>
        <color rgb="FFFF0000"/>
      </font>
    </dxf>
    <dxf>
      <fill>
        <patternFill>
          <bgColor theme="8" tint="0.79998168889431442"/>
        </patternFill>
      </fill>
    </dxf>
    <dxf>
      <font>
        <b/>
        <i val="0"/>
        <color rgb="FF3F752B"/>
      </font>
    </dxf>
    <dxf>
      <font>
        <b/>
        <i val="0"/>
        <color rgb="FFFF0000"/>
      </font>
    </dxf>
    <dxf>
      <fill>
        <patternFill>
          <bgColor theme="8" tint="0.79998168889431442"/>
        </patternFill>
      </fill>
    </dxf>
    <dxf>
      <font>
        <b/>
        <i val="0"/>
        <color rgb="FF3F752B"/>
      </font>
    </dxf>
    <dxf>
      <font>
        <b/>
        <i val="0"/>
        <color rgb="FFFF0000"/>
      </font>
    </dxf>
    <dxf>
      <fill>
        <patternFill>
          <bgColor theme="8" tint="0.79998168889431442"/>
        </patternFill>
      </fill>
    </dxf>
    <dxf>
      <fill>
        <patternFill>
          <bgColor theme="8" tint="0.79998168889431442"/>
        </patternFill>
      </fill>
    </dxf>
    <dxf>
      <font>
        <b/>
        <i val="0"/>
        <color rgb="FF3F752B"/>
      </font>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3F752B"/>
      </font>
    </dxf>
    <dxf>
      <font>
        <b/>
        <i val="0"/>
        <color rgb="FFFF0000"/>
      </font>
    </dxf>
    <dxf>
      <font>
        <b/>
        <i val="0"/>
        <color rgb="FF3F752B"/>
      </font>
    </dxf>
    <dxf>
      <font>
        <b/>
        <i val="0"/>
        <color rgb="FFFF0000"/>
      </font>
    </dxf>
    <dxf>
      <fill>
        <patternFill>
          <bgColor theme="8" tint="0.79998168889431442"/>
        </patternFill>
      </fill>
    </dxf>
    <dxf>
      <font>
        <b/>
        <i val="0"/>
        <color rgb="FFFF0000"/>
      </font>
    </dxf>
    <dxf>
      <font>
        <b/>
        <i val="0"/>
        <color rgb="FF3F752B"/>
      </font>
    </dxf>
    <dxf>
      <fill>
        <patternFill>
          <bgColor theme="8" tint="0.79998168889431442"/>
        </patternFill>
      </fill>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3F752B"/>
      </font>
    </dxf>
    <dxf>
      <font>
        <b/>
        <i val="0"/>
        <color rgb="FFFF0000"/>
      </font>
    </dxf>
    <dxf>
      <font>
        <b/>
        <i val="0"/>
        <color rgb="FF3F752B"/>
      </font>
    </dxf>
    <dxf>
      <fill>
        <patternFill>
          <bgColor theme="8" tint="0.79998168889431442"/>
        </patternFill>
      </fill>
    </dxf>
    <dxf>
      <font>
        <b/>
        <i val="0"/>
        <color rgb="FFFF0000"/>
      </font>
    </dxf>
    <dxf>
      <font>
        <b/>
        <i val="0"/>
        <color rgb="FFFF0000"/>
      </font>
    </dxf>
    <dxf>
      <font>
        <b/>
        <i val="0"/>
        <color rgb="FF3F752B"/>
      </font>
    </dxf>
    <dxf>
      <fill>
        <patternFill>
          <bgColor theme="8" tint="0.79998168889431442"/>
        </patternFill>
      </fill>
    </dxf>
    <dxf>
      <fill>
        <patternFill>
          <bgColor theme="8" tint="0.79998168889431442"/>
        </patternFill>
      </fill>
    </dxf>
    <dxf>
      <font>
        <b/>
        <i val="0"/>
        <color rgb="FFFF0000"/>
      </font>
    </dxf>
    <dxf>
      <font>
        <b/>
        <i val="0"/>
        <color rgb="FF3F752B"/>
      </font>
    </dxf>
    <dxf>
      <font>
        <b/>
        <i val="0"/>
        <color rgb="FF3F752B"/>
      </font>
    </dxf>
    <dxf>
      <font>
        <b/>
        <i val="0"/>
        <color rgb="FFFF0000"/>
      </font>
    </dxf>
    <dxf>
      <fill>
        <patternFill>
          <bgColor theme="8" tint="0.79998168889431442"/>
        </patternFill>
      </fill>
    </dxf>
    <dxf>
      <font>
        <b/>
        <i val="0"/>
        <color rgb="FF3F752B"/>
      </font>
    </dxf>
    <dxf>
      <font>
        <b/>
        <i val="0"/>
        <color rgb="FFFF0000"/>
      </font>
    </dxf>
    <dxf>
      <fill>
        <patternFill>
          <bgColor theme="8" tint="0.79998168889431442"/>
        </patternFill>
      </fill>
    </dxf>
    <dxf>
      <fill>
        <patternFill>
          <bgColor theme="8" tint="0.79998168889431442"/>
        </patternFill>
      </fill>
    </dxf>
    <dxf>
      <font>
        <b/>
        <i val="0"/>
        <color rgb="FF3F752B"/>
      </font>
    </dxf>
    <dxf>
      <font>
        <b/>
        <i val="0"/>
        <color rgb="FFFF0000"/>
      </font>
    </dxf>
    <dxf>
      <fill>
        <patternFill>
          <bgColor theme="8" tint="0.79998168889431442"/>
        </patternFill>
      </fill>
    </dxf>
    <dxf>
      <font>
        <b/>
        <i val="0"/>
        <color rgb="FFFF0000"/>
      </font>
    </dxf>
    <dxf>
      <font>
        <b/>
        <i val="0"/>
        <color rgb="FF3F752B"/>
      </font>
    </dxf>
    <dxf>
      <font>
        <b/>
        <i val="0"/>
        <color rgb="FF3F752B"/>
      </font>
    </dxf>
    <dxf>
      <fill>
        <patternFill>
          <bgColor theme="8" tint="0.79998168889431442"/>
        </patternFill>
      </fill>
    </dxf>
    <dxf>
      <font>
        <b/>
        <i val="0"/>
        <color rgb="FFFF0000"/>
      </font>
    </dxf>
    <dxf>
      <font>
        <b/>
        <i val="0"/>
        <color rgb="FFFF0000"/>
      </font>
    </dxf>
    <dxf>
      <fill>
        <patternFill>
          <bgColor theme="8" tint="0.79998168889431442"/>
        </patternFill>
      </fill>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ont>
        <b/>
        <i val="0"/>
        <color rgb="FFFF0000"/>
      </font>
    </dxf>
    <dxf>
      <fill>
        <patternFill>
          <bgColor theme="8" tint="0.79998168889431442"/>
        </patternFill>
      </fill>
    </dxf>
    <dxf>
      <font>
        <b/>
        <i val="0"/>
        <color rgb="FF3F752B"/>
      </font>
    </dxf>
    <dxf>
      <font>
        <b/>
        <i val="0"/>
        <color rgb="FFFF0000"/>
      </font>
    </dxf>
    <dxf>
      <font>
        <b/>
        <i val="0"/>
        <color rgb="FF3F752B"/>
      </font>
    </dxf>
    <dxf>
      <fill>
        <patternFill>
          <bgColor theme="8" tint="0.79998168889431442"/>
        </patternFill>
      </fill>
    </dxf>
    <dxf>
      <font>
        <b/>
        <i val="0"/>
        <color rgb="FF3F752B"/>
      </font>
    </dxf>
    <dxf>
      <font>
        <b/>
        <i val="0"/>
        <color rgb="FFFF0000"/>
      </font>
    </dxf>
    <dxf>
      <fill>
        <patternFill>
          <bgColor theme="8" tint="0.79998168889431442"/>
        </patternFill>
      </fill>
    </dxf>
    <dxf>
      <fill>
        <patternFill>
          <bgColor theme="8" tint="0.79998168889431442"/>
        </patternFill>
      </fill>
    </dxf>
    <dxf>
      <font>
        <b/>
        <i val="0"/>
        <color rgb="FFFF0000"/>
      </font>
    </dxf>
    <dxf>
      <font>
        <b/>
        <i val="0"/>
        <color rgb="FF3F752B"/>
      </font>
    </dxf>
    <dxf>
      <font>
        <b/>
        <i val="0"/>
        <color rgb="FFFF0000"/>
      </font>
    </dxf>
    <dxf>
      <font>
        <b/>
        <i val="0"/>
        <color rgb="FF3F752B"/>
      </font>
    </dxf>
    <dxf>
      <fill>
        <patternFill>
          <bgColor theme="8" tint="0.79998168889431442"/>
        </patternFill>
      </fill>
    </dxf>
    <dxf>
      <font>
        <b/>
        <i val="0"/>
        <color rgb="FF3F752B"/>
      </font>
    </dxf>
    <dxf>
      <fill>
        <patternFill>
          <bgColor theme="8" tint="0.79998168889431442"/>
        </patternFill>
      </fill>
    </dxf>
    <dxf>
      <font>
        <b/>
        <i val="0"/>
        <color rgb="FFFF0000"/>
      </font>
    </dxf>
    <dxf>
      <fill>
        <patternFill>
          <bgColor theme="8" tint="0.79998168889431442"/>
        </patternFill>
      </fill>
    </dxf>
    <dxf>
      <font>
        <b/>
        <i val="0"/>
        <color rgb="FF3F752B"/>
      </font>
    </dxf>
    <dxf>
      <font>
        <b/>
        <i val="0"/>
        <color rgb="FFFF0000"/>
      </font>
    </dxf>
    <dxf>
      <fill>
        <patternFill>
          <bgColor theme="8" tint="0.79998168889431442"/>
        </patternFill>
      </fill>
    </dxf>
    <dxf>
      <font>
        <b/>
        <i val="0"/>
        <color rgb="FFFF0000"/>
      </font>
    </dxf>
    <dxf>
      <font>
        <b/>
        <i val="0"/>
        <color rgb="FF3F752B"/>
      </font>
    </dxf>
    <dxf>
      <font>
        <b/>
        <i val="0"/>
        <color rgb="FF3F752B"/>
      </font>
    </dxf>
    <dxf>
      <fill>
        <patternFill>
          <bgColor theme="8" tint="0.79998168889431442"/>
        </patternFill>
      </fill>
    </dxf>
    <dxf>
      <font>
        <b/>
        <i val="0"/>
        <color rgb="FFFF0000"/>
      </font>
    </dxf>
    <dxf>
      <fill>
        <patternFill>
          <bgColor theme="8" tint="0.79998168889431442"/>
        </patternFill>
      </fill>
    </dxf>
    <dxf>
      <font>
        <b/>
        <i val="0"/>
        <color rgb="FF3F752B"/>
      </font>
    </dxf>
    <dxf>
      <font>
        <b/>
        <i val="0"/>
        <color rgb="FFFF0000"/>
      </font>
    </dxf>
    <dxf>
      <font>
        <b/>
        <i val="0"/>
        <color rgb="FFFF0000"/>
      </font>
    </dxf>
    <dxf>
      <fill>
        <patternFill>
          <bgColor theme="8" tint="0.79998168889431442"/>
        </patternFill>
      </fill>
    </dxf>
    <dxf>
      <font>
        <b/>
        <i val="0"/>
        <color rgb="FF3F752B"/>
      </font>
    </dxf>
    <dxf>
      <font>
        <b/>
        <i val="0"/>
        <color rgb="FF3F752B"/>
      </font>
    </dxf>
    <dxf>
      <font>
        <b/>
        <i val="0"/>
        <color rgb="FFFF0000"/>
      </font>
    </dxf>
    <dxf>
      <fill>
        <patternFill>
          <bgColor theme="8" tint="0.79998168889431442"/>
        </patternFill>
      </fill>
    </dxf>
    <dxf>
      <font>
        <b/>
        <i val="0"/>
        <color rgb="FF3F752B"/>
      </font>
    </dxf>
    <dxf>
      <font>
        <b/>
        <i val="0"/>
        <color rgb="FFFF0000"/>
      </font>
    </dxf>
    <dxf>
      <fill>
        <patternFill>
          <bgColor theme="8" tint="0.79998168889431442"/>
        </patternFill>
      </fill>
    </dxf>
    <dxf>
      <fill>
        <patternFill>
          <bgColor theme="8" tint="0.79998168889431442"/>
        </patternFill>
      </fill>
    </dxf>
    <dxf>
      <font>
        <b/>
        <i val="0"/>
        <color rgb="FF3F752B"/>
      </font>
    </dxf>
    <dxf>
      <font>
        <b/>
        <i val="0"/>
        <color rgb="FFFF0000"/>
      </font>
    </dxf>
  </dxfs>
  <tableStyles count="0" defaultTableStyle="TableStyleMedium2" defaultPivotStyle="PivotStyleLight16"/>
  <colors>
    <mruColors>
      <color rgb="FF1A4B7C"/>
      <color rgb="FFFFFFCC"/>
      <color rgb="FF99FF33"/>
      <color rgb="FF1E568E"/>
      <color rgb="FFCC9900"/>
      <color rgb="FF996600"/>
      <color rgb="FFFFCC99"/>
      <color rgb="FFCC3300"/>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B. SUPPLEMENTAL CERT'!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hyperlink" Target="#'B. SUPPLEMENTAL CERT'!A1"/><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hyperlink" Target="#EUP!A1"/><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hyperlink" Target="https://archivemhc.com/Compliance/Forms/HTC/Property%20Transfer%20Form.pdf" TargetMode="External"/><Relationship Id="rId2" Type="http://schemas.openxmlformats.org/officeDocument/2006/relationships/hyperlink" Target="https://archivemhc.com/Compliance/Forms/HTC/Notice%20of%20GP-LLC-Mgmt%20Change.pdf" TargetMode="External"/><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2" Type="http://schemas.openxmlformats.org/officeDocument/2006/relationships/hyperlink" Target="#'A. OCCPC'!Print_Area"/><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hyperlink" Target="#'PART B.  EXHIBIT B'!A1"/><Relationship Id="rId2" Type="http://schemas.openxmlformats.org/officeDocument/2006/relationships/hyperlink" Target="#'PART B. EXHIBIT A'!A1"/><Relationship Id="rId1" Type="http://schemas.openxmlformats.org/officeDocument/2006/relationships/image" Target="../media/image1.png"/><Relationship Id="rId4" Type="http://schemas.openxmlformats.org/officeDocument/2006/relationships/hyperlink" Target="#'PART B. Exhibit C'!A1"/></Relationships>
</file>

<file path=xl/drawings/_rels/drawing8.xml.rels><?xml version="1.0" encoding="UTF-8" standalone="yes"?>
<Relationships xmlns="http://schemas.openxmlformats.org/package/2006/relationships"><Relationship Id="rId2" Type="http://schemas.openxmlformats.org/officeDocument/2006/relationships/hyperlink" Target="#'B. SUPPLEMENTAL CERT'!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409575</xdr:colOff>
      <xdr:row>49</xdr:row>
      <xdr:rowOff>73025</xdr:rowOff>
    </xdr:from>
    <xdr:to>
      <xdr:col>10</xdr:col>
      <xdr:colOff>61884</xdr:colOff>
      <xdr:row>55</xdr:row>
      <xdr:rowOff>104775</xdr:rowOff>
    </xdr:to>
    <xdr:pic>
      <xdr:nvPicPr>
        <xdr:cNvPr id="2" name="Picture 1">
          <a:extLst>
            <a:ext uri="{FF2B5EF4-FFF2-40B4-BE49-F238E27FC236}">
              <a16:creationId xmlns:a16="http://schemas.microsoft.com/office/drawing/2014/main" id="{3534D804-8C97-4E54-B137-805595FD3E0D}"/>
            </a:ext>
          </a:extLst>
        </xdr:cNvPr>
        <xdr:cNvPicPr>
          <a:picLocks noChangeAspect="1"/>
        </xdr:cNvPicPr>
      </xdr:nvPicPr>
      <xdr:blipFill>
        <a:blip xmlns:r="http://schemas.openxmlformats.org/officeDocument/2006/relationships" r:embed="rId1"/>
        <a:stretch>
          <a:fillRect/>
        </a:stretch>
      </xdr:blipFill>
      <xdr:spPr>
        <a:xfrm>
          <a:off x="5772150" y="9407525"/>
          <a:ext cx="2014509" cy="1174750"/>
        </a:xfrm>
        <a:prstGeom prst="rect">
          <a:avLst/>
        </a:prstGeom>
        <a:ln>
          <a:noFill/>
        </a:ln>
        <a:effectLst>
          <a:softEdge rad="112500"/>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139065</xdr:colOff>
      <xdr:row>2</xdr:row>
      <xdr:rowOff>186205</xdr:rowOff>
    </xdr:from>
    <xdr:to>
      <xdr:col>4</xdr:col>
      <xdr:colOff>567690</xdr:colOff>
      <xdr:row>6</xdr:row>
      <xdr:rowOff>133350</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4604385" y="597685"/>
          <a:ext cx="1503045" cy="945365"/>
        </a:xfrm>
        <a:prstGeom prst="rect">
          <a:avLst/>
        </a:prstGeom>
      </xdr:spPr>
    </xdr:pic>
    <xdr:clientData/>
  </xdr:twoCellAnchor>
  <xdr:twoCellAnchor>
    <xdr:from>
      <xdr:col>0</xdr:col>
      <xdr:colOff>2133600</xdr:colOff>
      <xdr:row>3</xdr:row>
      <xdr:rowOff>280035</xdr:rowOff>
    </xdr:from>
    <xdr:to>
      <xdr:col>0</xdr:col>
      <xdr:colOff>3962400</xdr:colOff>
      <xdr:row>6</xdr:row>
      <xdr:rowOff>161925</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A00-000003000000}"/>
            </a:ext>
          </a:extLst>
        </xdr:cNvPr>
        <xdr:cNvSpPr txBox="1"/>
      </xdr:nvSpPr>
      <xdr:spPr>
        <a:xfrm>
          <a:off x="2133600" y="889635"/>
          <a:ext cx="1828800" cy="69151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tx1">
                  <a:lumMod val="65000"/>
                  <a:lumOff val="35000"/>
                </a:schemeClr>
              </a:solidFill>
            </a:rPr>
            <a:t>RETURN</a:t>
          </a:r>
          <a:r>
            <a:rPr lang="en-US" sz="1200" b="1" baseline="0">
              <a:solidFill>
                <a:schemeClr val="tx1">
                  <a:lumMod val="65000"/>
                  <a:lumOff val="35000"/>
                </a:schemeClr>
              </a:solidFill>
            </a:rPr>
            <a:t> TO PART B - </a:t>
          </a:r>
          <a:r>
            <a:rPr lang="en-US" sz="1200" b="0" baseline="0">
              <a:solidFill>
                <a:schemeClr val="tx1">
                  <a:lumMod val="65000"/>
                  <a:lumOff val="35000"/>
                </a:schemeClr>
              </a:solidFill>
            </a:rPr>
            <a:t>Supplemental Certification Form</a:t>
          </a:r>
          <a:endParaRPr lang="en-US" sz="1200" b="0">
            <a:solidFill>
              <a:schemeClr val="tx1">
                <a:lumMod val="65000"/>
                <a:lumOff val="35000"/>
              </a:schemeClr>
            </a:solidFill>
          </a:endParaRPr>
        </a:p>
      </xdr:txBody>
    </xdr:sp>
    <xdr:clientData/>
  </xdr:twoCellAnchor>
  <xdr:twoCellAnchor>
    <xdr:from>
      <xdr:col>0</xdr:col>
      <xdr:colOff>1181100</xdr:colOff>
      <xdr:row>44</xdr:row>
      <xdr:rowOff>152399</xdr:rowOff>
    </xdr:from>
    <xdr:to>
      <xdr:col>0</xdr:col>
      <xdr:colOff>3857625</xdr:colOff>
      <xdr:row>54</xdr:row>
      <xdr:rowOff>123824</xdr:rowOff>
    </xdr:to>
    <xdr:sp macro="" textlink="">
      <xdr:nvSpPr>
        <xdr:cNvPr id="5" name="TextBox 4">
          <a:extLst>
            <a:ext uri="{FF2B5EF4-FFF2-40B4-BE49-F238E27FC236}">
              <a16:creationId xmlns:a16="http://schemas.microsoft.com/office/drawing/2014/main" id="{82B5AE93-F988-8221-F114-F6FD06B16290}"/>
            </a:ext>
          </a:extLst>
        </xdr:cNvPr>
        <xdr:cNvSpPr txBox="1"/>
      </xdr:nvSpPr>
      <xdr:spPr>
        <a:xfrm>
          <a:off x="1181100" y="9810749"/>
          <a:ext cx="2676525" cy="180022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chemeClr val="tx1">
                  <a:lumMod val="65000"/>
                  <a:lumOff val="35000"/>
                </a:schemeClr>
              </a:solidFill>
            </a:rPr>
            <a:t>NOTE</a:t>
          </a:r>
          <a:r>
            <a:rPr lang="en-US" sz="1100">
              <a:solidFill>
                <a:schemeClr val="tx1">
                  <a:lumMod val="65000"/>
                  <a:lumOff val="35000"/>
                </a:schemeClr>
              </a:solidFill>
            </a:rPr>
            <a:t>:  The AOC Report can ONLY be EXECUTED by the owner of record for the Property.  If there has been a change in the ownership GP/approved signatory since the last AOC Report submittal, remit a copy of the Ownership Schematic, Operating Agreement, Resolution, Bylaws, or Minutes to support the change.  NOTE:  Processing fees may apply.</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139065</xdr:colOff>
      <xdr:row>2</xdr:row>
      <xdr:rowOff>186205</xdr:rowOff>
    </xdr:from>
    <xdr:to>
      <xdr:col>4</xdr:col>
      <xdr:colOff>567690</xdr:colOff>
      <xdr:row>6</xdr:row>
      <xdr:rowOff>129540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4602480" y="593875"/>
          <a:ext cx="1508760" cy="945365"/>
        </a:xfrm>
        <a:prstGeom prst="rect">
          <a:avLst/>
        </a:prstGeom>
      </xdr:spPr>
    </xdr:pic>
    <xdr:clientData/>
  </xdr:twoCellAnchor>
  <xdr:twoCellAnchor>
    <xdr:from>
      <xdr:col>0</xdr:col>
      <xdr:colOff>2381250</xdr:colOff>
      <xdr:row>6</xdr:row>
      <xdr:rowOff>32385</xdr:rowOff>
    </xdr:from>
    <xdr:to>
      <xdr:col>0</xdr:col>
      <xdr:colOff>3962400</xdr:colOff>
      <xdr:row>9</xdr:row>
      <xdr:rowOff>352425</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B00-000003000000}"/>
            </a:ext>
          </a:extLst>
        </xdr:cNvPr>
        <xdr:cNvSpPr txBox="1"/>
      </xdr:nvSpPr>
      <xdr:spPr>
        <a:xfrm>
          <a:off x="2381250" y="1451610"/>
          <a:ext cx="1581150" cy="66294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tx1">
                  <a:lumMod val="65000"/>
                  <a:lumOff val="35000"/>
                </a:schemeClr>
              </a:solidFill>
            </a:rPr>
            <a:t>RETURN</a:t>
          </a:r>
          <a:r>
            <a:rPr lang="en-US" sz="1200" b="1" baseline="0">
              <a:solidFill>
                <a:schemeClr val="tx1">
                  <a:lumMod val="65000"/>
                  <a:lumOff val="35000"/>
                </a:schemeClr>
              </a:solidFill>
            </a:rPr>
            <a:t> TO PART B - </a:t>
          </a:r>
          <a:r>
            <a:rPr lang="en-US" sz="1200" b="0" baseline="0">
              <a:solidFill>
                <a:schemeClr val="tx1">
                  <a:lumMod val="65000"/>
                  <a:lumOff val="35000"/>
                </a:schemeClr>
              </a:solidFill>
            </a:rPr>
            <a:t>Supplemental Certification Form</a:t>
          </a:r>
          <a:endParaRPr lang="en-US" sz="1200" b="0">
            <a:solidFill>
              <a:schemeClr val="tx1">
                <a:lumMod val="65000"/>
                <a:lumOff val="35000"/>
              </a:schemeClr>
            </a:solidFill>
          </a:endParaRPr>
        </a:p>
      </xdr:txBody>
    </xdr:sp>
    <xdr:clientData/>
  </xdr:twoCellAnchor>
  <xdr:twoCellAnchor>
    <xdr:from>
      <xdr:col>0</xdr:col>
      <xdr:colOff>1276350</xdr:colOff>
      <xdr:row>44</xdr:row>
      <xdr:rowOff>104775</xdr:rowOff>
    </xdr:from>
    <xdr:to>
      <xdr:col>0</xdr:col>
      <xdr:colOff>3952875</xdr:colOff>
      <xdr:row>54</xdr:row>
      <xdr:rowOff>76200</xdr:rowOff>
    </xdr:to>
    <xdr:sp macro="" textlink="">
      <xdr:nvSpPr>
        <xdr:cNvPr id="5" name="TextBox 4">
          <a:extLst>
            <a:ext uri="{FF2B5EF4-FFF2-40B4-BE49-F238E27FC236}">
              <a16:creationId xmlns:a16="http://schemas.microsoft.com/office/drawing/2014/main" id="{0F3BAC52-81DC-479B-9775-C7482005FE16}"/>
            </a:ext>
          </a:extLst>
        </xdr:cNvPr>
        <xdr:cNvSpPr txBox="1"/>
      </xdr:nvSpPr>
      <xdr:spPr>
        <a:xfrm>
          <a:off x="1276350" y="9763125"/>
          <a:ext cx="2676525" cy="180022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chemeClr val="tx1">
                  <a:lumMod val="65000"/>
                  <a:lumOff val="35000"/>
                </a:schemeClr>
              </a:solidFill>
            </a:rPr>
            <a:t>NOTE:  </a:t>
          </a:r>
          <a:r>
            <a:rPr lang="en-US" sz="1100" b="0">
              <a:solidFill>
                <a:schemeClr val="tx1">
                  <a:lumMod val="65000"/>
                  <a:lumOff val="35000"/>
                </a:schemeClr>
              </a:solidFill>
            </a:rPr>
            <a:t>The AOC Report can ONLY be EXECUTED by the owner of record for the Property.  If there has been a change in the ownership GP/approved signatory since the last AOC Report submittal, remit a copy of the Ownership Schematic, Operating Agreement, Resolution, Bylaws, or Minutes to support the change.  NOTE:  Processing fees may apply.</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345440</xdr:colOff>
      <xdr:row>34</xdr:row>
      <xdr:rowOff>91440</xdr:rowOff>
    </xdr:from>
    <xdr:to>
      <xdr:col>8</xdr:col>
      <xdr:colOff>626308</xdr:colOff>
      <xdr:row>39</xdr:row>
      <xdr:rowOff>160655</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6921500" y="6675120"/>
          <a:ext cx="1500068" cy="98361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203835</xdr:colOff>
      <xdr:row>3</xdr:row>
      <xdr:rowOff>26669</xdr:rowOff>
    </xdr:from>
    <xdr:to>
      <xdr:col>5</xdr:col>
      <xdr:colOff>859155</xdr:colOff>
      <xdr:row>7</xdr:row>
      <xdr:rowOff>112266</xdr:rowOff>
    </xdr:to>
    <xdr:pic>
      <xdr:nvPicPr>
        <xdr:cNvPr id="4" name="Picture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4194810" y="588644"/>
          <a:ext cx="1685925" cy="1095247"/>
        </a:xfrm>
        <a:prstGeom prst="rect">
          <a:avLst/>
        </a:prstGeom>
      </xdr:spPr>
    </xdr:pic>
    <xdr:clientData/>
  </xdr:twoCellAnchor>
  <xdr:twoCellAnchor>
    <xdr:from>
      <xdr:col>8</xdr:col>
      <xdr:colOff>331470</xdr:colOff>
      <xdr:row>17</xdr:row>
      <xdr:rowOff>47624</xdr:rowOff>
    </xdr:from>
    <xdr:to>
      <xdr:col>8</xdr:col>
      <xdr:colOff>407670</xdr:colOff>
      <xdr:row>17</xdr:row>
      <xdr:rowOff>148589</xdr:rowOff>
    </xdr:to>
    <xdr:sp macro="" textlink="">
      <xdr:nvSpPr>
        <xdr:cNvPr id="5" name="Flowchart: Extract 4">
          <a:extLst>
            <a:ext uri="{FF2B5EF4-FFF2-40B4-BE49-F238E27FC236}">
              <a16:creationId xmlns:a16="http://schemas.microsoft.com/office/drawing/2014/main" id="{00000000-0008-0000-0D00-000005000000}"/>
            </a:ext>
          </a:extLst>
        </xdr:cNvPr>
        <xdr:cNvSpPr/>
      </xdr:nvSpPr>
      <xdr:spPr>
        <a:xfrm rot="5400000">
          <a:off x="7657147" y="3054667"/>
          <a:ext cx="100965" cy="76200"/>
        </a:xfrm>
        <a:prstGeom prst="flowChartExtra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85725</xdr:colOff>
          <xdr:row>16</xdr:row>
          <xdr:rowOff>57150</xdr:rowOff>
        </xdr:from>
        <xdr:to>
          <xdr:col>12</xdr:col>
          <xdr:colOff>114300</xdr:colOff>
          <xdr:row>18</xdr:row>
          <xdr:rowOff>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C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57150</xdr:rowOff>
        </xdr:from>
        <xdr:to>
          <xdr:col>10</xdr:col>
          <xdr:colOff>104775</xdr:colOff>
          <xdr:row>18</xdr:row>
          <xdr:rowOff>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C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76</xdr:row>
          <xdr:rowOff>57150</xdr:rowOff>
        </xdr:from>
        <xdr:to>
          <xdr:col>10</xdr:col>
          <xdr:colOff>66675</xdr:colOff>
          <xdr:row>78</xdr:row>
          <xdr:rowOff>19050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C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95250</xdr:colOff>
      <xdr:row>4</xdr:row>
      <xdr:rowOff>238125</xdr:rowOff>
    </xdr:from>
    <xdr:to>
      <xdr:col>22</xdr:col>
      <xdr:colOff>342900</xdr:colOff>
      <xdr:row>9</xdr:row>
      <xdr:rowOff>104775</xdr:rowOff>
    </xdr:to>
    <xdr:sp macro="" textlink="">
      <xdr:nvSpPr>
        <xdr:cNvPr id="2" name="TextBox 1">
          <a:hlinkClick xmlns:r="http://schemas.openxmlformats.org/officeDocument/2006/relationships" r:id="rId2"/>
          <a:extLst>
            <a:ext uri="{FF2B5EF4-FFF2-40B4-BE49-F238E27FC236}">
              <a16:creationId xmlns:a16="http://schemas.microsoft.com/office/drawing/2014/main" id="{286166F9-9FF1-933E-A6AD-52C988F2A51F}"/>
            </a:ext>
          </a:extLst>
        </xdr:cNvPr>
        <xdr:cNvSpPr txBox="1"/>
      </xdr:nvSpPr>
      <xdr:spPr>
        <a:xfrm>
          <a:off x="12954000" y="1000125"/>
          <a:ext cx="2019300" cy="95250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C00000"/>
              </a:solidFill>
            </a:rPr>
            <a:t>ATTENTION</a:t>
          </a:r>
          <a:r>
            <a:rPr lang="en-US" sz="1100" b="1" baseline="0">
              <a:solidFill>
                <a:srgbClr val="C00000"/>
              </a:solidFill>
            </a:rPr>
            <a:t> EUP REPORTERS</a:t>
          </a:r>
          <a:r>
            <a:rPr lang="en-US" sz="1100" baseline="0">
              <a:solidFill>
                <a:schemeClr val="tx1">
                  <a:lumMod val="65000"/>
                  <a:lumOff val="35000"/>
                </a:schemeClr>
              </a:solidFill>
            </a:rPr>
            <a:t>!!</a:t>
          </a:r>
        </a:p>
        <a:p>
          <a:pPr algn="ctr"/>
          <a:r>
            <a:rPr lang="en-US" sz="1100">
              <a:solidFill>
                <a:schemeClr val="tx1">
                  <a:lumMod val="65000"/>
                  <a:lumOff val="35000"/>
                </a:schemeClr>
              </a:solidFill>
            </a:rPr>
            <a:t>UNSURE</a:t>
          </a:r>
          <a:r>
            <a:rPr lang="en-US" sz="1100" baseline="0">
              <a:solidFill>
                <a:schemeClr val="tx1">
                  <a:lumMod val="65000"/>
                  <a:lumOff val="35000"/>
                </a:schemeClr>
              </a:solidFill>
            </a:rPr>
            <a:t> IF A </a:t>
          </a:r>
          <a:r>
            <a:rPr lang="en-US" sz="1100" b="1" baseline="0">
              <a:solidFill>
                <a:schemeClr val="tx1">
                  <a:lumMod val="65000"/>
                  <a:lumOff val="35000"/>
                </a:schemeClr>
              </a:solidFill>
            </a:rPr>
            <a:t>DFAR Certification Report </a:t>
          </a:r>
          <a:r>
            <a:rPr lang="en-US" sz="1100" baseline="0">
              <a:solidFill>
                <a:schemeClr val="tx1">
                  <a:lumMod val="65000"/>
                  <a:lumOff val="35000"/>
                </a:schemeClr>
              </a:solidFill>
            </a:rPr>
            <a:t>is due  for this development, CLICK HERE.</a:t>
          </a:r>
          <a:endParaRPr lang="en-US" sz="1100">
            <a:solidFill>
              <a:schemeClr val="tx1">
                <a:lumMod val="65000"/>
                <a:lumOff val="35000"/>
              </a:schemeClr>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80010</xdr:colOff>
      <xdr:row>6</xdr:row>
      <xdr:rowOff>22860</xdr:rowOff>
    </xdr:from>
    <xdr:to>
      <xdr:col>2</xdr:col>
      <xdr:colOff>1470165</xdr:colOff>
      <xdr:row>11</xdr:row>
      <xdr:rowOff>20319</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6899910" y="1455420"/>
          <a:ext cx="1397775" cy="948054"/>
        </a:xfrm>
        <a:prstGeom prst="rect">
          <a:avLst/>
        </a:prstGeom>
      </xdr:spPr>
    </xdr:pic>
    <xdr:clientData/>
  </xdr:twoCellAnchor>
  <xdr:twoCellAnchor>
    <xdr:from>
      <xdr:col>8</xdr:col>
      <xdr:colOff>160019</xdr:colOff>
      <xdr:row>13</xdr:row>
      <xdr:rowOff>57150</xdr:rowOff>
    </xdr:from>
    <xdr:to>
      <xdr:col>11</xdr:col>
      <xdr:colOff>581024</xdr:colOff>
      <xdr:row>15</xdr:row>
      <xdr:rowOff>121920</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E00-000003000000}"/>
            </a:ext>
          </a:extLst>
        </xdr:cNvPr>
        <xdr:cNvSpPr txBox="1"/>
      </xdr:nvSpPr>
      <xdr:spPr>
        <a:xfrm>
          <a:off x="14999969" y="2590800"/>
          <a:ext cx="1849755" cy="51244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Notice of </a:t>
          </a:r>
          <a:r>
            <a:rPr lang="en-US" sz="1100" b="1"/>
            <a:t>GP/Management Change </a:t>
          </a:r>
          <a:r>
            <a:rPr lang="en-US" sz="1100"/>
            <a:t>Form</a:t>
          </a:r>
        </a:p>
      </xdr:txBody>
    </xdr:sp>
    <xdr:clientData/>
  </xdr:twoCellAnchor>
  <xdr:twoCellAnchor>
    <xdr:from>
      <xdr:col>8</xdr:col>
      <xdr:colOff>160019</xdr:colOff>
      <xdr:row>15</xdr:row>
      <xdr:rowOff>213360</xdr:rowOff>
    </xdr:from>
    <xdr:to>
      <xdr:col>12</xdr:col>
      <xdr:colOff>9524</xdr:colOff>
      <xdr:row>16</xdr:row>
      <xdr:rowOff>213360</xdr:rowOff>
    </xdr:to>
    <xdr:sp macro="" textlink="">
      <xdr:nvSpPr>
        <xdr:cNvPr id="4" name="TextBox 3">
          <a:hlinkClick xmlns:r="http://schemas.openxmlformats.org/officeDocument/2006/relationships" r:id="rId3"/>
          <a:extLst>
            <a:ext uri="{FF2B5EF4-FFF2-40B4-BE49-F238E27FC236}">
              <a16:creationId xmlns:a16="http://schemas.microsoft.com/office/drawing/2014/main" id="{00000000-0008-0000-0E00-000004000000}"/>
            </a:ext>
          </a:extLst>
        </xdr:cNvPr>
        <xdr:cNvSpPr txBox="1"/>
      </xdr:nvSpPr>
      <xdr:spPr>
        <a:xfrm>
          <a:off x="14999969" y="3194685"/>
          <a:ext cx="1868805" cy="4857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Notice of </a:t>
          </a:r>
          <a:r>
            <a:rPr lang="en-US" sz="1100" b="1"/>
            <a:t>Property Transfer </a:t>
          </a:r>
          <a:r>
            <a:rPr lang="en-US" sz="1100"/>
            <a:t>Form</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34260</xdr:colOff>
      <xdr:row>2</xdr:row>
      <xdr:rowOff>152055</xdr:rowOff>
    </xdr:from>
    <xdr:to>
      <xdr:col>6</xdr:col>
      <xdr:colOff>363855</xdr:colOff>
      <xdr:row>6</xdr:row>
      <xdr:rowOff>156209</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3295620" y="563535"/>
          <a:ext cx="1411635" cy="9871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38100</xdr:colOff>
      <xdr:row>2</xdr:row>
      <xdr:rowOff>123825</xdr:rowOff>
    </xdr:from>
    <xdr:to>
      <xdr:col>5</xdr:col>
      <xdr:colOff>325437</xdr:colOff>
      <xdr:row>6</xdr:row>
      <xdr:rowOff>8009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733675" y="504825"/>
          <a:ext cx="1466850" cy="865259"/>
        </a:xfrm>
        <a:prstGeom prst="rect">
          <a:avLst/>
        </a:prstGeom>
      </xdr:spPr>
    </xdr:pic>
    <xdr:clientData/>
  </xdr:twoCellAnchor>
  <xdr:twoCellAnchor>
    <xdr:from>
      <xdr:col>1</xdr:col>
      <xdr:colOff>111124</xdr:colOff>
      <xdr:row>17</xdr:row>
      <xdr:rowOff>142873</xdr:rowOff>
    </xdr:from>
    <xdr:to>
      <xdr:col>1</xdr:col>
      <xdr:colOff>2405062</xdr:colOff>
      <xdr:row>21</xdr:row>
      <xdr:rowOff>325437</xdr:rowOff>
    </xdr:to>
    <xdr:sp macro="" textlink="">
      <xdr:nvSpPr>
        <xdr:cNvPr id="6" name="Rectangle: Rounded Corners 5">
          <a:extLst>
            <a:ext uri="{FF2B5EF4-FFF2-40B4-BE49-F238E27FC236}">
              <a16:creationId xmlns:a16="http://schemas.microsoft.com/office/drawing/2014/main" id="{4345E547-8B22-EDA5-E92B-FE093FFAE51B}"/>
            </a:ext>
          </a:extLst>
        </xdr:cNvPr>
        <xdr:cNvSpPr/>
      </xdr:nvSpPr>
      <xdr:spPr>
        <a:xfrm>
          <a:off x="388937" y="4532311"/>
          <a:ext cx="2293938" cy="952501"/>
        </a:xfrm>
        <a:prstGeom prst="roundRect">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Reports within this AOC</a:t>
          </a:r>
          <a:r>
            <a:rPr lang="en-US" sz="1100" baseline="0"/>
            <a:t> Workbook  flagged in </a:t>
          </a:r>
          <a:r>
            <a:rPr lang="en-US" sz="1100" b="1" baseline="0">
              <a:solidFill>
                <a:srgbClr val="1A4B7C"/>
              </a:solidFill>
            </a:rPr>
            <a:t>dark</a:t>
          </a:r>
          <a:r>
            <a:rPr lang="en-US" sz="1100" baseline="0"/>
            <a:t> </a:t>
          </a:r>
          <a:r>
            <a:rPr lang="en-US" sz="1100" b="1" baseline="0">
              <a:solidFill>
                <a:srgbClr val="1A4B7C"/>
              </a:solidFill>
            </a:rPr>
            <a:t>blue</a:t>
          </a:r>
          <a:r>
            <a:rPr lang="en-US" sz="1100" baseline="0"/>
            <a:t> are REQUIRED of ALL developments.   A few exceptions apply.</a:t>
          </a:r>
          <a:endParaRPr lang="en-US" sz="1100"/>
        </a:p>
      </xdr:txBody>
    </xdr:sp>
    <xdr:clientData/>
  </xdr:twoCellAnchor>
  <xdr:twoCellAnchor>
    <xdr:from>
      <xdr:col>1</xdr:col>
      <xdr:colOff>111125</xdr:colOff>
      <xdr:row>21</xdr:row>
      <xdr:rowOff>420688</xdr:rowOff>
    </xdr:from>
    <xdr:to>
      <xdr:col>1</xdr:col>
      <xdr:colOff>2405063</xdr:colOff>
      <xdr:row>28</xdr:row>
      <xdr:rowOff>7937</xdr:rowOff>
    </xdr:to>
    <xdr:sp macro="" textlink="">
      <xdr:nvSpPr>
        <xdr:cNvPr id="8" name="Rectangle: Rounded Corners 7">
          <a:extLst>
            <a:ext uri="{FF2B5EF4-FFF2-40B4-BE49-F238E27FC236}">
              <a16:creationId xmlns:a16="http://schemas.microsoft.com/office/drawing/2014/main" id="{D0E46B93-DE27-4F74-828B-0F21A61D521E}"/>
            </a:ext>
          </a:extLst>
        </xdr:cNvPr>
        <xdr:cNvSpPr/>
      </xdr:nvSpPr>
      <xdr:spPr>
        <a:xfrm>
          <a:off x="388938" y="5580063"/>
          <a:ext cx="2293938" cy="1150937"/>
        </a:xfrm>
        <a:prstGeom prst="roundRect">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Reports within this AOC</a:t>
          </a:r>
          <a:r>
            <a:rPr lang="en-US" sz="1100" baseline="0"/>
            <a:t> Workbook  flagged in </a:t>
          </a:r>
          <a:r>
            <a:rPr lang="en-US" sz="1200" b="1" baseline="0">
              <a:solidFill>
                <a:schemeClr val="accent1">
                  <a:lumMod val="20000"/>
                  <a:lumOff val="80000"/>
                </a:schemeClr>
              </a:solidFill>
            </a:rPr>
            <a:t>light</a:t>
          </a:r>
          <a:r>
            <a:rPr lang="en-US" sz="1200" baseline="0"/>
            <a:t> </a:t>
          </a:r>
          <a:r>
            <a:rPr lang="en-US" sz="1200" b="1" baseline="0">
              <a:solidFill>
                <a:schemeClr val="accent1">
                  <a:lumMod val="20000"/>
                  <a:lumOff val="80000"/>
                </a:schemeClr>
              </a:solidFill>
            </a:rPr>
            <a:t>blue</a:t>
          </a:r>
          <a:r>
            <a:rPr lang="en-US" sz="1200" baseline="0"/>
            <a:t> </a:t>
          </a:r>
          <a:r>
            <a:rPr lang="en-US" sz="1100" baseline="0"/>
            <a:t>are ONLY REQUIRED, if applicable to the development.   A few exceptions apply.</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49500</xdr:colOff>
      <xdr:row>3</xdr:row>
      <xdr:rowOff>14895</xdr:rowOff>
    </xdr:from>
    <xdr:to>
      <xdr:col>4</xdr:col>
      <xdr:colOff>558165</xdr:colOff>
      <xdr:row>6</xdr:row>
      <xdr:rowOff>95249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78125" y="386370"/>
          <a:ext cx="1360200" cy="81377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57150</xdr:colOff>
          <xdr:row>20</xdr:row>
          <xdr:rowOff>57150</xdr:rowOff>
        </xdr:from>
        <xdr:to>
          <xdr:col>3</xdr:col>
          <xdr:colOff>9525</xdr:colOff>
          <xdr:row>22</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171450</xdr:rowOff>
        </xdr:from>
        <xdr:to>
          <xdr:col>3</xdr:col>
          <xdr:colOff>9525</xdr:colOff>
          <xdr:row>25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0</xdr:rowOff>
        </xdr:from>
        <xdr:to>
          <xdr:col>3</xdr:col>
          <xdr:colOff>9525</xdr:colOff>
          <xdr:row>26</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171450</xdr:rowOff>
        </xdr:from>
        <xdr:to>
          <xdr:col>3</xdr:col>
          <xdr:colOff>266700</xdr:colOff>
          <xdr:row>23</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19050</xdr:rowOff>
        </xdr:from>
        <xdr:to>
          <xdr:col>3</xdr:col>
          <xdr:colOff>9525</xdr:colOff>
          <xdr:row>15</xdr:row>
          <xdr:rowOff>171450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171450</xdr:rowOff>
        </xdr:from>
        <xdr:to>
          <xdr:col>3</xdr:col>
          <xdr:colOff>9525</xdr:colOff>
          <xdr:row>17</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57150</xdr:rowOff>
        </xdr:from>
        <xdr:to>
          <xdr:col>3</xdr:col>
          <xdr:colOff>9525</xdr:colOff>
          <xdr:row>30</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xdr:row>
          <xdr:rowOff>161925</xdr:rowOff>
        </xdr:from>
        <xdr:to>
          <xdr:col>3</xdr:col>
          <xdr:colOff>276225</xdr:colOff>
          <xdr:row>31</xdr:row>
          <xdr:rowOff>180975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xdr:row>
          <xdr:rowOff>161925</xdr:rowOff>
        </xdr:from>
        <xdr:to>
          <xdr:col>3</xdr:col>
          <xdr:colOff>9525</xdr:colOff>
          <xdr:row>36</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xdr:row>
          <xdr:rowOff>57150</xdr:rowOff>
        </xdr:from>
        <xdr:to>
          <xdr:col>3</xdr:col>
          <xdr:colOff>9525</xdr:colOff>
          <xdr:row>41</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44</xdr:row>
          <xdr:rowOff>0</xdr:rowOff>
        </xdr:from>
        <xdr:to>
          <xdr:col>3</xdr:col>
          <xdr:colOff>9525</xdr:colOff>
          <xdr:row>45</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171450</xdr:rowOff>
        </xdr:from>
        <xdr:to>
          <xdr:col>3</xdr:col>
          <xdr:colOff>266700</xdr:colOff>
          <xdr:row>42</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xdr:row>
          <xdr:rowOff>0</xdr:rowOff>
        </xdr:from>
        <xdr:to>
          <xdr:col>3</xdr:col>
          <xdr:colOff>9525</xdr:colOff>
          <xdr:row>37</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41</xdr:row>
          <xdr:rowOff>171450</xdr:rowOff>
        </xdr:from>
        <xdr:to>
          <xdr:col>3</xdr:col>
          <xdr:colOff>9525</xdr:colOff>
          <xdr:row>43</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171450</xdr:rowOff>
        </xdr:from>
        <xdr:to>
          <xdr:col>3</xdr:col>
          <xdr:colOff>9525</xdr:colOff>
          <xdr:row>44</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47</xdr:row>
          <xdr:rowOff>38100</xdr:rowOff>
        </xdr:from>
        <xdr:to>
          <xdr:col>3</xdr:col>
          <xdr:colOff>9525</xdr:colOff>
          <xdr:row>48</xdr:row>
          <xdr:rowOff>180975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53</xdr:row>
          <xdr:rowOff>171450</xdr:rowOff>
        </xdr:from>
        <xdr:to>
          <xdr:col>3</xdr:col>
          <xdr:colOff>9525</xdr:colOff>
          <xdr:row>55</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49</xdr:row>
          <xdr:rowOff>171450</xdr:rowOff>
        </xdr:from>
        <xdr:to>
          <xdr:col>3</xdr:col>
          <xdr:colOff>276225</xdr:colOff>
          <xdr:row>51</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52</xdr:row>
          <xdr:rowOff>180975</xdr:rowOff>
        </xdr:from>
        <xdr:to>
          <xdr:col>3</xdr:col>
          <xdr:colOff>9525</xdr:colOff>
          <xdr:row>54</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171450</xdr:rowOff>
        </xdr:from>
        <xdr:to>
          <xdr:col>3</xdr:col>
          <xdr:colOff>276225</xdr:colOff>
          <xdr:row>52</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48</xdr:row>
          <xdr:rowOff>161925</xdr:rowOff>
        </xdr:from>
        <xdr:to>
          <xdr:col>3</xdr:col>
          <xdr:colOff>276225</xdr:colOff>
          <xdr:row>49</xdr:row>
          <xdr:rowOff>180975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51</xdr:row>
          <xdr:rowOff>171450</xdr:rowOff>
        </xdr:from>
        <xdr:to>
          <xdr:col>3</xdr:col>
          <xdr:colOff>276225</xdr:colOff>
          <xdr:row>53</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57</xdr:row>
          <xdr:rowOff>47625</xdr:rowOff>
        </xdr:from>
        <xdr:to>
          <xdr:col>3</xdr:col>
          <xdr:colOff>9525</xdr:colOff>
          <xdr:row>59</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60</xdr:row>
          <xdr:rowOff>171450</xdr:rowOff>
        </xdr:from>
        <xdr:to>
          <xdr:col>3</xdr:col>
          <xdr:colOff>9525</xdr:colOff>
          <xdr:row>62</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171450</xdr:rowOff>
        </xdr:from>
        <xdr:to>
          <xdr:col>3</xdr:col>
          <xdr:colOff>285750</xdr:colOff>
          <xdr:row>60</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171450</xdr:rowOff>
        </xdr:from>
        <xdr:to>
          <xdr:col>3</xdr:col>
          <xdr:colOff>285750</xdr:colOff>
          <xdr:row>61</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xdr:row>
          <xdr:rowOff>19050</xdr:rowOff>
        </xdr:from>
        <xdr:to>
          <xdr:col>16</xdr:col>
          <xdr:colOff>447675</xdr:colOff>
          <xdr:row>15</xdr:row>
          <xdr:rowOff>180975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2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15</xdr:row>
          <xdr:rowOff>161925</xdr:rowOff>
        </xdr:from>
        <xdr:to>
          <xdr:col>16</xdr:col>
          <xdr:colOff>447675</xdr:colOff>
          <xdr:row>16</xdr:row>
          <xdr:rowOff>180975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20</xdr:row>
          <xdr:rowOff>47625</xdr:rowOff>
        </xdr:from>
        <xdr:to>
          <xdr:col>14</xdr:col>
          <xdr:colOff>485775</xdr:colOff>
          <xdr:row>22</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20</xdr:row>
          <xdr:rowOff>57150</xdr:rowOff>
        </xdr:from>
        <xdr:to>
          <xdr:col>16</xdr:col>
          <xdr:colOff>476250</xdr:colOff>
          <xdr:row>22</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21</xdr:row>
          <xdr:rowOff>171450</xdr:rowOff>
        </xdr:from>
        <xdr:to>
          <xdr:col>16</xdr:col>
          <xdr:colOff>476250</xdr:colOff>
          <xdr:row>23</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23</xdr:row>
          <xdr:rowOff>171450</xdr:rowOff>
        </xdr:from>
        <xdr:to>
          <xdr:col>16</xdr:col>
          <xdr:colOff>476250</xdr:colOff>
          <xdr:row>25</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22</xdr:row>
          <xdr:rowOff>161925</xdr:rowOff>
        </xdr:from>
        <xdr:to>
          <xdr:col>16</xdr:col>
          <xdr:colOff>476250</xdr:colOff>
          <xdr:row>23</xdr:row>
          <xdr:rowOff>180975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25</xdr:row>
          <xdr:rowOff>0</xdr:rowOff>
        </xdr:from>
        <xdr:to>
          <xdr:col>16</xdr:col>
          <xdr:colOff>485775</xdr:colOff>
          <xdr:row>26</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28</xdr:row>
          <xdr:rowOff>57150</xdr:rowOff>
        </xdr:from>
        <xdr:to>
          <xdr:col>16</xdr:col>
          <xdr:colOff>476250</xdr:colOff>
          <xdr:row>30</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30</xdr:row>
          <xdr:rowOff>171450</xdr:rowOff>
        </xdr:from>
        <xdr:to>
          <xdr:col>16</xdr:col>
          <xdr:colOff>476250</xdr:colOff>
          <xdr:row>32</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2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32</xdr:row>
          <xdr:rowOff>171450</xdr:rowOff>
        </xdr:from>
        <xdr:to>
          <xdr:col>16</xdr:col>
          <xdr:colOff>476250</xdr:colOff>
          <xdr:row>34</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2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34</xdr:row>
          <xdr:rowOff>171450</xdr:rowOff>
        </xdr:from>
        <xdr:to>
          <xdr:col>16</xdr:col>
          <xdr:colOff>476250</xdr:colOff>
          <xdr:row>36</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2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39</xdr:row>
          <xdr:rowOff>57150</xdr:rowOff>
        </xdr:from>
        <xdr:to>
          <xdr:col>16</xdr:col>
          <xdr:colOff>476250</xdr:colOff>
          <xdr:row>41</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2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40</xdr:row>
          <xdr:rowOff>171450</xdr:rowOff>
        </xdr:from>
        <xdr:to>
          <xdr:col>16</xdr:col>
          <xdr:colOff>476250</xdr:colOff>
          <xdr:row>42</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2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41</xdr:row>
          <xdr:rowOff>171450</xdr:rowOff>
        </xdr:from>
        <xdr:to>
          <xdr:col>16</xdr:col>
          <xdr:colOff>476250</xdr:colOff>
          <xdr:row>43</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2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42</xdr:row>
          <xdr:rowOff>171450</xdr:rowOff>
        </xdr:from>
        <xdr:to>
          <xdr:col>16</xdr:col>
          <xdr:colOff>476250</xdr:colOff>
          <xdr:row>44</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2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44</xdr:row>
          <xdr:rowOff>0</xdr:rowOff>
        </xdr:from>
        <xdr:to>
          <xdr:col>16</xdr:col>
          <xdr:colOff>485775</xdr:colOff>
          <xdr:row>45</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2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47</xdr:row>
          <xdr:rowOff>57150</xdr:rowOff>
        </xdr:from>
        <xdr:to>
          <xdr:col>16</xdr:col>
          <xdr:colOff>476250</xdr:colOff>
          <xdr:row>49</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2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48</xdr:row>
          <xdr:rowOff>171450</xdr:rowOff>
        </xdr:from>
        <xdr:to>
          <xdr:col>16</xdr:col>
          <xdr:colOff>476250</xdr:colOff>
          <xdr:row>50</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2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49</xdr:row>
          <xdr:rowOff>171450</xdr:rowOff>
        </xdr:from>
        <xdr:to>
          <xdr:col>16</xdr:col>
          <xdr:colOff>476250</xdr:colOff>
          <xdr:row>51</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2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50</xdr:row>
          <xdr:rowOff>171450</xdr:rowOff>
        </xdr:from>
        <xdr:to>
          <xdr:col>16</xdr:col>
          <xdr:colOff>476250</xdr:colOff>
          <xdr:row>52</xdr:row>
          <xdr:rowOff>9525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2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51</xdr:row>
          <xdr:rowOff>180975</xdr:rowOff>
        </xdr:from>
        <xdr:to>
          <xdr:col>16</xdr:col>
          <xdr:colOff>485775</xdr:colOff>
          <xdr:row>53</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2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52</xdr:row>
          <xdr:rowOff>180975</xdr:rowOff>
        </xdr:from>
        <xdr:to>
          <xdr:col>16</xdr:col>
          <xdr:colOff>485775</xdr:colOff>
          <xdr:row>54</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2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53</xdr:row>
          <xdr:rowOff>180975</xdr:rowOff>
        </xdr:from>
        <xdr:to>
          <xdr:col>16</xdr:col>
          <xdr:colOff>485775</xdr:colOff>
          <xdr:row>55</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2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57</xdr:row>
          <xdr:rowOff>57150</xdr:rowOff>
        </xdr:from>
        <xdr:to>
          <xdr:col>16</xdr:col>
          <xdr:colOff>476250</xdr:colOff>
          <xdr:row>59</xdr:row>
          <xdr:rowOff>9525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2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58</xdr:row>
          <xdr:rowOff>171450</xdr:rowOff>
        </xdr:from>
        <xdr:to>
          <xdr:col>16</xdr:col>
          <xdr:colOff>476250</xdr:colOff>
          <xdr:row>60</xdr:row>
          <xdr:rowOff>9525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2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59</xdr:row>
          <xdr:rowOff>171450</xdr:rowOff>
        </xdr:from>
        <xdr:to>
          <xdr:col>16</xdr:col>
          <xdr:colOff>476250</xdr:colOff>
          <xdr:row>61</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2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60</xdr:row>
          <xdr:rowOff>171450</xdr:rowOff>
        </xdr:from>
        <xdr:to>
          <xdr:col>16</xdr:col>
          <xdr:colOff>476250</xdr:colOff>
          <xdr:row>62</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2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40</xdr:row>
          <xdr:rowOff>19050</xdr:rowOff>
        </xdr:from>
        <xdr:to>
          <xdr:col>14</xdr:col>
          <xdr:colOff>533400</xdr:colOff>
          <xdr:row>41</xdr:row>
          <xdr:rowOff>38100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2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36</xdr:row>
          <xdr:rowOff>0</xdr:rowOff>
        </xdr:from>
        <xdr:to>
          <xdr:col>16</xdr:col>
          <xdr:colOff>485775</xdr:colOff>
          <xdr:row>37</xdr:row>
          <xdr:rowOff>28575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2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xdr:row>
          <xdr:rowOff>0</xdr:rowOff>
        </xdr:from>
        <xdr:to>
          <xdr:col>3</xdr:col>
          <xdr:colOff>285750</xdr:colOff>
          <xdr:row>31</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29</xdr:row>
          <xdr:rowOff>161925</xdr:rowOff>
        </xdr:from>
        <xdr:to>
          <xdr:col>16</xdr:col>
          <xdr:colOff>476250</xdr:colOff>
          <xdr:row>30</xdr:row>
          <xdr:rowOff>180975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2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xdr:row>
          <xdr:rowOff>152400</xdr:rowOff>
        </xdr:from>
        <xdr:to>
          <xdr:col>3</xdr:col>
          <xdr:colOff>276225</xdr:colOff>
          <xdr:row>32</xdr:row>
          <xdr:rowOff>171450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31</xdr:row>
          <xdr:rowOff>171450</xdr:rowOff>
        </xdr:from>
        <xdr:to>
          <xdr:col>16</xdr:col>
          <xdr:colOff>476250</xdr:colOff>
          <xdr:row>33</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171450</xdr:rowOff>
        </xdr:from>
        <xdr:to>
          <xdr:col>3</xdr:col>
          <xdr:colOff>9525</xdr:colOff>
          <xdr:row>24</xdr:row>
          <xdr:rowOff>9525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21</xdr:row>
          <xdr:rowOff>171450</xdr:rowOff>
        </xdr:from>
        <xdr:to>
          <xdr:col>16</xdr:col>
          <xdr:colOff>476250</xdr:colOff>
          <xdr:row>23</xdr:row>
          <xdr:rowOff>9525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2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xdr:row>
          <xdr:rowOff>171450</xdr:rowOff>
        </xdr:from>
        <xdr:to>
          <xdr:col>3</xdr:col>
          <xdr:colOff>19050</xdr:colOff>
          <xdr:row>35</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33</xdr:row>
          <xdr:rowOff>171450</xdr:rowOff>
        </xdr:from>
        <xdr:to>
          <xdr:col>16</xdr:col>
          <xdr:colOff>476250</xdr:colOff>
          <xdr:row>35</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161925</xdr:rowOff>
        </xdr:from>
        <xdr:to>
          <xdr:col>3</xdr:col>
          <xdr:colOff>285750</xdr:colOff>
          <xdr:row>33</xdr:row>
          <xdr:rowOff>190500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2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32</xdr:row>
          <xdr:rowOff>171450</xdr:rowOff>
        </xdr:from>
        <xdr:to>
          <xdr:col>16</xdr:col>
          <xdr:colOff>476250</xdr:colOff>
          <xdr:row>34</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47625</xdr:colOff>
      <xdr:row>1</xdr:row>
      <xdr:rowOff>256321</xdr:rowOff>
    </xdr:from>
    <xdr:to>
      <xdr:col>4</xdr:col>
      <xdr:colOff>107483</xdr:colOff>
      <xdr:row>6</xdr:row>
      <xdr:rowOff>131444</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067050" y="561121"/>
          <a:ext cx="1555283" cy="101812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228600</xdr:colOff>
          <xdr:row>48</xdr:row>
          <xdr:rowOff>0</xdr:rowOff>
        </xdr:from>
        <xdr:to>
          <xdr:col>10</xdr:col>
          <xdr:colOff>19050</xdr:colOff>
          <xdr:row>48</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2152650</xdr:colOff>
      <xdr:row>10</xdr:row>
      <xdr:rowOff>171450</xdr:rowOff>
    </xdr:from>
    <xdr:to>
      <xdr:col>1</xdr:col>
      <xdr:colOff>4095750</xdr:colOff>
      <xdr:row>16</xdr:row>
      <xdr:rowOff>57150</xdr:rowOff>
    </xdr:to>
    <xdr:pic>
      <xdr:nvPicPr>
        <xdr:cNvPr id="3" name="Picture 2">
          <a:extLst>
            <a:ext uri="{FF2B5EF4-FFF2-40B4-BE49-F238E27FC236}">
              <a16:creationId xmlns:a16="http://schemas.microsoft.com/office/drawing/2014/main" id="{0B6A65A5-5BC7-C7AA-D874-C71C565F8F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14975" y="6096000"/>
          <a:ext cx="1943100" cy="102870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85725</xdr:colOff>
      <xdr:row>2</xdr:row>
      <xdr:rowOff>186205</xdr:rowOff>
    </xdr:from>
    <xdr:to>
      <xdr:col>6</xdr:col>
      <xdr:colOff>514350</xdr:colOff>
      <xdr:row>6</xdr:row>
      <xdr:rowOff>133350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4429125" y="595780"/>
          <a:ext cx="1476375" cy="9567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18</xdr:col>
          <xdr:colOff>95250</xdr:colOff>
          <xdr:row>31</xdr:row>
          <xdr:rowOff>9525</xdr:rowOff>
        </xdr:from>
        <xdr:to>
          <xdr:col>18</xdr:col>
          <xdr:colOff>361950</xdr:colOff>
          <xdr:row>32</xdr:row>
          <xdr:rowOff>28575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19050</xdr:rowOff>
        </xdr:from>
        <xdr:to>
          <xdr:col>19</xdr:col>
          <xdr:colOff>371475</xdr:colOff>
          <xdr:row>32</xdr:row>
          <xdr:rowOff>28575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5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31</xdr:row>
          <xdr:rowOff>238125</xdr:rowOff>
        </xdr:from>
        <xdr:to>
          <xdr:col>18</xdr:col>
          <xdr:colOff>361950</xdr:colOff>
          <xdr:row>33</xdr:row>
          <xdr:rowOff>38100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5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238125</xdr:rowOff>
        </xdr:from>
        <xdr:to>
          <xdr:col>19</xdr:col>
          <xdr:colOff>371475</xdr:colOff>
          <xdr:row>33</xdr:row>
          <xdr:rowOff>38100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5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33</xdr:row>
          <xdr:rowOff>9525</xdr:rowOff>
        </xdr:from>
        <xdr:to>
          <xdr:col>18</xdr:col>
          <xdr:colOff>361950</xdr:colOff>
          <xdr:row>34</xdr:row>
          <xdr:rowOff>47625</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5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33</xdr:row>
          <xdr:rowOff>9525</xdr:rowOff>
        </xdr:from>
        <xdr:to>
          <xdr:col>19</xdr:col>
          <xdr:colOff>371475</xdr:colOff>
          <xdr:row>34</xdr:row>
          <xdr:rowOff>47625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5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37</xdr:row>
          <xdr:rowOff>9525</xdr:rowOff>
        </xdr:from>
        <xdr:to>
          <xdr:col>18</xdr:col>
          <xdr:colOff>361950</xdr:colOff>
          <xdr:row>38</xdr:row>
          <xdr:rowOff>47625</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5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37</xdr:row>
          <xdr:rowOff>19050</xdr:rowOff>
        </xdr:from>
        <xdr:to>
          <xdr:col>19</xdr:col>
          <xdr:colOff>371475</xdr:colOff>
          <xdr:row>38</xdr:row>
          <xdr:rowOff>57150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5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38</xdr:row>
          <xdr:rowOff>0</xdr:rowOff>
        </xdr:from>
        <xdr:to>
          <xdr:col>18</xdr:col>
          <xdr:colOff>361950</xdr:colOff>
          <xdr:row>39</xdr:row>
          <xdr:rowOff>38100</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5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38</xdr:row>
          <xdr:rowOff>0</xdr:rowOff>
        </xdr:from>
        <xdr:to>
          <xdr:col>19</xdr:col>
          <xdr:colOff>371475</xdr:colOff>
          <xdr:row>39</xdr:row>
          <xdr:rowOff>38100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5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39</xdr:row>
          <xdr:rowOff>9525</xdr:rowOff>
        </xdr:from>
        <xdr:to>
          <xdr:col>18</xdr:col>
          <xdr:colOff>361950</xdr:colOff>
          <xdr:row>41</xdr:row>
          <xdr:rowOff>9525</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5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39</xdr:row>
          <xdr:rowOff>9525</xdr:rowOff>
        </xdr:from>
        <xdr:to>
          <xdr:col>19</xdr:col>
          <xdr:colOff>371475</xdr:colOff>
          <xdr:row>41</xdr:row>
          <xdr:rowOff>9525</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5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2057400</xdr:colOff>
      <xdr:row>3</xdr:row>
      <xdr:rowOff>327660</xdr:rowOff>
    </xdr:from>
    <xdr:to>
      <xdr:col>2</xdr:col>
      <xdr:colOff>47626</xdr:colOff>
      <xdr:row>5</xdr:row>
      <xdr:rowOff>219074</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500-000003000000}"/>
            </a:ext>
          </a:extLst>
        </xdr:cNvPr>
        <xdr:cNvSpPr txBox="1"/>
      </xdr:nvSpPr>
      <xdr:spPr>
        <a:xfrm>
          <a:off x="2228850" y="937260"/>
          <a:ext cx="1590676" cy="472439"/>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0">
              <a:solidFill>
                <a:schemeClr val="tx1">
                  <a:lumMod val="65000"/>
                  <a:lumOff val="35000"/>
                </a:schemeClr>
              </a:solidFill>
            </a:rPr>
            <a:t>RETURN</a:t>
          </a:r>
          <a:r>
            <a:rPr lang="en-US" sz="1100" b="0" baseline="0">
              <a:solidFill>
                <a:schemeClr val="tx1">
                  <a:lumMod val="65000"/>
                  <a:lumOff val="35000"/>
                </a:schemeClr>
              </a:solidFill>
            </a:rPr>
            <a:t> TO </a:t>
          </a:r>
          <a:r>
            <a:rPr lang="en-US" sz="1100" b="1" baseline="0">
              <a:solidFill>
                <a:schemeClr val="tx1">
                  <a:lumMod val="65000"/>
                  <a:lumOff val="35000"/>
                </a:schemeClr>
              </a:solidFill>
            </a:rPr>
            <a:t>PART A </a:t>
          </a:r>
          <a:r>
            <a:rPr lang="en-US" sz="1100" b="0" baseline="0">
              <a:solidFill>
                <a:schemeClr val="tx1">
                  <a:lumMod val="65000"/>
                  <a:lumOff val="35000"/>
                </a:schemeClr>
              </a:solidFill>
            </a:rPr>
            <a:t>- OCCPC Form</a:t>
          </a:r>
          <a:endParaRPr lang="en-US" sz="1100" b="0">
            <a:solidFill>
              <a:schemeClr val="tx1">
                <a:lumMod val="65000"/>
                <a:lumOff val="35000"/>
              </a:schemeClr>
            </a:solidFill>
          </a:endParaRPr>
        </a:p>
      </xdr:txBody>
    </xdr:sp>
    <xdr:clientData/>
  </xdr:twoCellAnchor>
  <xdr:twoCellAnchor>
    <xdr:from>
      <xdr:col>22</xdr:col>
      <xdr:colOff>28575</xdr:colOff>
      <xdr:row>3</xdr:row>
      <xdr:rowOff>247649</xdr:rowOff>
    </xdr:from>
    <xdr:to>
      <xdr:col>24</xdr:col>
      <xdr:colOff>257175</xdr:colOff>
      <xdr:row>7</xdr:row>
      <xdr:rowOff>9524</xdr:rowOff>
    </xdr:to>
    <xdr:sp macro="" textlink="">
      <xdr:nvSpPr>
        <xdr:cNvPr id="4" name="TextBox 3">
          <a:extLst>
            <a:ext uri="{FF2B5EF4-FFF2-40B4-BE49-F238E27FC236}">
              <a16:creationId xmlns:a16="http://schemas.microsoft.com/office/drawing/2014/main" id="{86CDAB28-C64C-0D0D-1382-17AFAAD835DB}"/>
            </a:ext>
          </a:extLst>
        </xdr:cNvPr>
        <xdr:cNvSpPr txBox="1"/>
      </xdr:nvSpPr>
      <xdr:spPr>
        <a:xfrm>
          <a:off x="12553950" y="857249"/>
          <a:ext cx="1447800" cy="75247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0">
              <a:solidFill>
                <a:schemeClr val="tx1">
                  <a:lumMod val="65000"/>
                  <a:lumOff val="35000"/>
                </a:schemeClr>
              </a:solidFill>
            </a:rPr>
            <a:t>GO</a:t>
          </a:r>
          <a:r>
            <a:rPr lang="en-US" sz="1100" b="0" baseline="0">
              <a:solidFill>
                <a:schemeClr val="tx1">
                  <a:lumMod val="65000"/>
                  <a:lumOff val="35000"/>
                </a:schemeClr>
              </a:solidFill>
            </a:rPr>
            <a:t> TO </a:t>
          </a:r>
          <a:r>
            <a:rPr lang="en-US" sz="1100" b="1" baseline="0">
              <a:solidFill>
                <a:schemeClr val="tx1">
                  <a:lumMod val="65000"/>
                  <a:lumOff val="35000"/>
                </a:schemeClr>
              </a:solidFill>
            </a:rPr>
            <a:t>PART B - </a:t>
          </a:r>
          <a:r>
            <a:rPr lang="en-US" sz="1100" b="0" baseline="0">
              <a:solidFill>
                <a:schemeClr val="tx1">
                  <a:lumMod val="65000"/>
                  <a:lumOff val="35000"/>
                </a:schemeClr>
              </a:solidFill>
            </a:rPr>
            <a:t>Supplemental Certification Form</a:t>
          </a:r>
          <a:endParaRPr lang="en-US" sz="1100" b="0">
            <a:solidFill>
              <a:schemeClr val="tx1">
                <a:lumMod val="65000"/>
                <a:lumOff val="35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84293</xdr:colOff>
      <xdr:row>2</xdr:row>
      <xdr:rowOff>188594</xdr:rowOff>
    </xdr:from>
    <xdr:to>
      <xdr:col>7</xdr:col>
      <xdr:colOff>249280</xdr:colOff>
      <xdr:row>6</xdr:row>
      <xdr:rowOff>325755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3846668" y="636269"/>
          <a:ext cx="1723277" cy="10782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18</xdr:col>
          <xdr:colOff>0</xdr:colOff>
          <xdr:row>20</xdr:row>
          <xdr:rowOff>19050</xdr:rowOff>
        </xdr:from>
        <xdr:to>
          <xdr:col>19</xdr:col>
          <xdr:colOff>9525</xdr:colOff>
          <xdr:row>20</xdr:row>
          <xdr:rowOff>180975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xdr:row>
          <xdr:rowOff>0</xdr:rowOff>
        </xdr:from>
        <xdr:to>
          <xdr:col>21</xdr:col>
          <xdr:colOff>47625</xdr:colOff>
          <xdr:row>21</xdr:row>
          <xdr:rowOff>19050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20</xdr:row>
          <xdr:rowOff>0</xdr:rowOff>
        </xdr:from>
        <xdr:to>
          <xdr:col>23</xdr:col>
          <xdr:colOff>57150</xdr:colOff>
          <xdr:row>21</xdr:row>
          <xdr:rowOff>19050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xdr:row>
          <xdr:rowOff>19050</xdr:rowOff>
        </xdr:from>
        <xdr:to>
          <xdr:col>19</xdr:col>
          <xdr:colOff>28575</xdr:colOff>
          <xdr:row>22</xdr:row>
          <xdr:rowOff>180975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21</xdr:row>
          <xdr:rowOff>609600</xdr:rowOff>
        </xdr:from>
        <xdr:to>
          <xdr:col>21</xdr:col>
          <xdr:colOff>57150</xdr:colOff>
          <xdr:row>22</xdr:row>
          <xdr:rowOff>209550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22</xdr:row>
          <xdr:rowOff>0</xdr:rowOff>
        </xdr:from>
        <xdr:to>
          <xdr:col>23</xdr:col>
          <xdr:colOff>57150</xdr:colOff>
          <xdr:row>22</xdr:row>
          <xdr:rowOff>209550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xdr:row>
          <xdr:rowOff>19050</xdr:rowOff>
        </xdr:from>
        <xdr:to>
          <xdr:col>19</xdr:col>
          <xdr:colOff>28575</xdr:colOff>
          <xdr:row>25</xdr:row>
          <xdr:rowOff>180975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25</xdr:row>
          <xdr:rowOff>0</xdr:rowOff>
        </xdr:from>
        <xdr:to>
          <xdr:col>21</xdr:col>
          <xdr:colOff>57150</xdr:colOff>
          <xdr:row>25</xdr:row>
          <xdr:rowOff>209550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25</xdr:row>
          <xdr:rowOff>0</xdr:rowOff>
        </xdr:from>
        <xdr:to>
          <xdr:col>23</xdr:col>
          <xdr:colOff>57150</xdr:colOff>
          <xdr:row>25</xdr:row>
          <xdr:rowOff>209550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6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19050</xdr:rowOff>
        </xdr:from>
        <xdr:to>
          <xdr:col>19</xdr:col>
          <xdr:colOff>28575</xdr:colOff>
          <xdr:row>28</xdr:row>
          <xdr:rowOff>180975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6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28</xdr:row>
          <xdr:rowOff>0</xdr:rowOff>
        </xdr:from>
        <xdr:to>
          <xdr:col>21</xdr:col>
          <xdr:colOff>57150</xdr:colOff>
          <xdr:row>28</xdr:row>
          <xdr:rowOff>209550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6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28</xdr:row>
          <xdr:rowOff>0</xdr:rowOff>
        </xdr:from>
        <xdr:to>
          <xdr:col>23</xdr:col>
          <xdr:colOff>66675</xdr:colOff>
          <xdr:row>28</xdr:row>
          <xdr:rowOff>209550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6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31</xdr:row>
          <xdr:rowOff>19050</xdr:rowOff>
        </xdr:from>
        <xdr:to>
          <xdr:col>19</xdr:col>
          <xdr:colOff>28575</xdr:colOff>
          <xdr:row>31</xdr:row>
          <xdr:rowOff>180975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6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31</xdr:row>
          <xdr:rowOff>0</xdr:rowOff>
        </xdr:from>
        <xdr:to>
          <xdr:col>21</xdr:col>
          <xdr:colOff>57150</xdr:colOff>
          <xdr:row>31</xdr:row>
          <xdr:rowOff>209550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6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31</xdr:row>
          <xdr:rowOff>0</xdr:rowOff>
        </xdr:from>
        <xdr:to>
          <xdr:col>23</xdr:col>
          <xdr:colOff>57150</xdr:colOff>
          <xdr:row>31</xdr:row>
          <xdr:rowOff>209550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6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36</xdr:row>
          <xdr:rowOff>19050</xdr:rowOff>
        </xdr:from>
        <xdr:to>
          <xdr:col>20</xdr:col>
          <xdr:colOff>19050</xdr:colOff>
          <xdr:row>36</xdr:row>
          <xdr:rowOff>180975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6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36</xdr:row>
          <xdr:rowOff>0</xdr:rowOff>
        </xdr:from>
        <xdr:to>
          <xdr:col>22</xdr:col>
          <xdr:colOff>19050</xdr:colOff>
          <xdr:row>36</xdr:row>
          <xdr:rowOff>209550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6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36</xdr:row>
          <xdr:rowOff>0</xdr:rowOff>
        </xdr:from>
        <xdr:to>
          <xdr:col>23</xdr:col>
          <xdr:colOff>66675</xdr:colOff>
          <xdr:row>36</xdr:row>
          <xdr:rowOff>209550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6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38</xdr:row>
          <xdr:rowOff>19050</xdr:rowOff>
        </xdr:from>
        <xdr:to>
          <xdr:col>20</xdr:col>
          <xdr:colOff>19050</xdr:colOff>
          <xdr:row>38</xdr:row>
          <xdr:rowOff>180975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6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38</xdr:row>
          <xdr:rowOff>0</xdr:rowOff>
        </xdr:from>
        <xdr:to>
          <xdr:col>22</xdr:col>
          <xdr:colOff>19050</xdr:colOff>
          <xdr:row>38</xdr:row>
          <xdr:rowOff>209550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6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38</xdr:row>
          <xdr:rowOff>0</xdr:rowOff>
        </xdr:from>
        <xdr:to>
          <xdr:col>23</xdr:col>
          <xdr:colOff>66675</xdr:colOff>
          <xdr:row>38</xdr:row>
          <xdr:rowOff>209550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6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41</xdr:row>
          <xdr:rowOff>19050</xdr:rowOff>
        </xdr:from>
        <xdr:to>
          <xdr:col>20</xdr:col>
          <xdr:colOff>19050</xdr:colOff>
          <xdr:row>41</xdr:row>
          <xdr:rowOff>180975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6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41</xdr:row>
          <xdr:rowOff>0</xdr:rowOff>
        </xdr:from>
        <xdr:to>
          <xdr:col>22</xdr:col>
          <xdr:colOff>19050</xdr:colOff>
          <xdr:row>41</xdr:row>
          <xdr:rowOff>209550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6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41</xdr:row>
          <xdr:rowOff>0</xdr:rowOff>
        </xdr:from>
        <xdr:to>
          <xdr:col>23</xdr:col>
          <xdr:colOff>66675</xdr:colOff>
          <xdr:row>41</xdr:row>
          <xdr:rowOff>209550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6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44</xdr:row>
          <xdr:rowOff>19050</xdr:rowOff>
        </xdr:from>
        <xdr:to>
          <xdr:col>20</xdr:col>
          <xdr:colOff>19050</xdr:colOff>
          <xdr:row>44</xdr:row>
          <xdr:rowOff>180975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6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43</xdr:row>
          <xdr:rowOff>95250</xdr:rowOff>
        </xdr:from>
        <xdr:to>
          <xdr:col>22</xdr:col>
          <xdr:colOff>19050</xdr:colOff>
          <xdr:row>44</xdr:row>
          <xdr:rowOff>200025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6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43</xdr:row>
          <xdr:rowOff>95250</xdr:rowOff>
        </xdr:from>
        <xdr:to>
          <xdr:col>23</xdr:col>
          <xdr:colOff>66675</xdr:colOff>
          <xdr:row>44</xdr:row>
          <xdr:rowOff>200025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6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50</xdr:row>
          <xdr:rowOff>19050</xdr:rowOff>
        </xdr:from>
        <xdr:to>
          <xdr:col>20</xdr:col>
          <xdr:colOff>19050</xdr:colOff>
          <xdr:row>50</xdr:row>
          <xdr:rowOff>180975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6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50</xdr:row>
          <xdr:rowOff>0</xdr:rowOff>
        </xdr:from>
        <xdr:to>
          <xdr:col>22</xdr:col>
          <xdr:colOff>19050</xdr:colOff>
          <xdr:row>50</xdr:row>
          <xdr:rowOff>209550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6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50</xdr:row>
          <xdr:rowOff>0</xdr:rowOff>
        </xdr:from>
        <xdr:to>
          <xdr:col>23</xdr:col>
          <xdr:colOff>66675</xdr:colOff>
          <xdr:row>50</xdr:row>
          <xdr:rowOff>209550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6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52</xdr:row>
          <xdr:rowOff>19050</xdr:rowOff>
        </xdr:from>
        <xdr:to>
          <xdr:col>20</xdr:col>
          <xdr:colOff>19050</xdr:colOff>
          <xdr:row>52</xdr:row>
          <xdr:rowOff>180975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6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52</xdr:row>
          <xdr:rowOff>0</xdr:rowOff>
        </xdr:from>
        <xdr:to>
          <xdr:col>22</xdr:col>
          <xdr:colOff>19050</xdr:colOff>
          <xdr:row>53</xdr:row>
          <xdr:rowOff>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6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52</xdr:row>
          <xdr:rowOff>0</xdr:rowOff>
        </xdr:from>
        <xdr:to>
          <xdr:col>23</xdr:col>
          <xdr:colOff>66675</xdr:colOff>
          <xdr:row>53</xdr:row>
          <xdr:rowOff>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6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55</xdr:row>
          <xdr:rowOff>19050</xdr:rowOff>
        </xdr:from>
        <xdr:to>
          <xdr:col>20</xdr:col>
          <xdr:colOff>19050</xdr:colOff>
          <xdr:row>55</xdr:row>
          <xdr:rowOff>180975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6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55</xdr:row>
          <xdr:rowOff>0</xdr:rowOff>
        </xdr:from>
        <xdr:to>
          <xdr:col>22</xdr:col>
          <xdr:colOff>19050</xdr:colOff>
          <xdr:row>55</xdr:row>
          <xdr:rowOff>209550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6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55</xdr:row>
          <xdr:rowOff>0</xdr:rowOff>
        </xdr:from>
        <xdr:to>
          <xdr:col>23</xdr:col>
          <xdr:colOff>66675</xdr:colOff>
          <xdr:row>55</xdr:row>
          <xdr:rowOff>209550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6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61</xdr:row>
          <xdr:rowOff>19050</xdr:rowOff>
        </xdr:from>
        <xdr:to>
          <xdr:col>20</xdr:col>
          <xdr:colOff>19050</xdr:colOff>
          <xdr:row>61</xdr:row>
          <xdr:rowOff>180975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6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61</xdr:row>
          <xdr:rowOff>0</xdr:rowOff>
        </xdr:from>
        <xdr:to>
          <xdr:col>22</xdr:col>
          <xdr:colOff>19050</xdr:colOff>
          <xdr:row>61</xdr:row>
          <xdr:rowOff>209550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6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61</xdr:row>
          <xdr:rowOff>0</xdr:rowOff>
        </xdr:from>
        <xdr:to>
          <xdr:col>23</xdr:col>
          <xdr:colOff>66675</xdr:colOff>
          <xdr:row>61</xdr:row>
          <xdr:rowOff>209550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6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63</xdr:row>
          <xdr:rowOff>19050</xdr:rowOff>
        </xdr:from>
        <xdr:to>
          <xdr:col>20</xdr:col>
          <xdr:colOff>19050</xdr:colOff>
          <xdr:row>63</xdr:row>
          <xdr:rowOff>180975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6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63</xdr:row>
          <xdr:rowOff>0</xdr:rowOff>
        </xdr:from>
        <xdr:to>
          <xdr:col>22</xdr:col>
          <xdr:colOff>19050</xdr:colOff>
          <xdr:row>63</xdr:row>
          <xdr:rowOff>209550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6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63</xdr:row>
          <xdr:rowOff>0</xdr:rowOff>
        </xdr:from>
        <xdr:to>
          <xdr:col>23</xdr:col>
          <xdr:colOff>66675</xdr:colOff>
          <xdr:row>63</xdr:row>
          <xdr:rowOff>209550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6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188595</xdr:colOff>
      <xdr:row>4</xdr:row>
      <xdr:rowOff>26670</xdr:rowOff>
    </xdr:from>
    <xdr:to>
      <xdr:col>29</xdr:col>
      <xdr:colOff>20955</xdr:colOff>
      <xdr:row>5</xdr:row>
      <xdr:rowOff>144780</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700-000003000000}"/>
            </a:ext>
          </a:extLst>
        </xdr:cNvPr>
        <xdr:cNvSpPr txBox="1"/>
      </xdr:nvSpPr>
      <xdr:spPr>
        <a:xfrm>
          <a:off x="12142470" y="960120"/>
          <a:ext cx="1337310" cy="28956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tx1">
                  <a:lumMod val="65000"/>
                  <a:lumOff val="35000"/>
                </a:schemeClr>
              </a:solidFill>
            </a:rPr>
            <a:t>PART</a:t>
          </a:r>
          <a:r>
            <a:rPr lang="en-US" sz="1100" baseline="0">
              <a:solidFill>
                <a:schemeClr val="tx1">
                  <a:lumMod val="65000"/>
                  <a:lumOff val="35000"/>
                </a:schemeClr>
              </a:solidFill>
            </a:rPr>
            <a:t> B - Exhibit A</a:t>
          </a:r>
          <a:endParaRPr lang="en-US" sz="1100">
            <a:solidFill>
              <a:schemeClr val="tx1">
                <a:lumMod val="65000"/>
                <a:lumOff val="35000"/>
              </a:schemeClr>
            </a:solidFill>
          </a:endParaRPr>
        </a:p>
      </xdr:txBody>
    </xdr:sp>
    <xdr:clientData/>
  </xdr:twoCellAnchor>
  <xdr:twoCellAnchor>
    <xdr:from>
      <xdr:col>23</xdr:col>
      <xdr:colOff>196215</xdr:colOff>
      <xdr:row>5</xdr:row>
      <xdr:rowOff>249555</xdr:rowOff>
    </xdr:from>
    <xdr:to>
      <xdr:col>29</xdr:col>
      <xdr:colOff>43815</xdr:colOff>
      <xdr:row>6</xdr:row>
      <xdr:rowOff>255270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700-000005000000}"/>
            </a:ext>
          </a:extLst>
        </xdr:cNvPr>
        <xdr:cNvSpPr txBox="1"/>
      </xdr:nvSpPr>
      <xdr:spPr>
        <a:xfrm>
          <a:off x="12150090" y="1354455"/>
          <a:ext cx="1352550" cy="28194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solidFill>
                <a:schemeClr val="tx1">
                  <a:lumMod val="65000"/>
                  <a:lumOff val="35000"/>
                </a:schemeClr>
              </a:solidFill>
            </a:rPr>
            <a:t>PART B - Exhibit B</a:t>
          </a:r>
        </a:p>
      </xdr:txBody>
    </xdr:sp>
    <xdr:clientData/>
  </xdr:twoCellAnchor>
  <xdr:twoCellAnchor>
    <xdr:from>
      <xdr:col>23</xdr:col>
      <xdr:colOff>186690</xdr:colOff>
      <xdr:row>6</xdr:row>
      <xdr:rowOff>348615</xdr:rowOff>
    </xdr:from>
    <xdr:to>
      <xdr:col>29</xdr:col>
      <xdr:colOff>57150</xdr:colOff>
      <xdr:row>9</xdr:row>
      <xdr:rowOff>198120</xdr:rowOff>
    </xdr:to>
    <xdr:sp macro="" textlink="">
      <xdr:nvSpPr>
        <xdr:cNvPr id="6" name="TextBox 5">
          <a:hlinkClick xmlns:r="http://schemas.openxmlformats.org/officeDocument/2006/relationships" r:id="rId4"/>
          <a:extLst>
            <a:ext uri="{FF2B5EF4-FFF2-40B4-BE49-F238E27FC236}">
              <a16:creationId xmlns:a16="http://schemas.microsoft.com/office/drawing/2014/main" id="{00000000-0008-0000-0700-000006000000}"/>
            </a:ext>
          </a:extLst>
        </xdr:cNvPr>
        <xdr:cNvSpPr txBox="1"/>
      </xdr:nvSpPr>
      <xdr:spPr>
        <a:xfrm>
          <a:off x="12140565" y="1729740"/>
          <a:ext cx="1375410" cy="35433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0">
              <a:solidFill>
                <a:schemeClr val="tx1">
                  <a:lumMod val="65000"/>
                  <a:lumOff val="35000"/>
                </a:schemeClr>
              </a:solidFill>
            </a:rPr>
            <a:t>PART</a:t>
          </a:r>
          <a:r>
            <a:rPr lang="en-US" sz="1100" b="0" baseline="0">
              <a:solidFill>
                <a:schemeClr val="tx1">
                  <a:lumMod val="65000"/>
                  <a:lumOff val="35000"/>
                </a:schemeClr>
              </a:solidFill>
            </a:rPr>
            <a:t> B - Exhibit C</a:t>
          </a:r>
          <a:endParaRPr lang="en-US" sz="1100" b="0">
            <a:solidFill>
              <a:schemeClr val="tx1">
                <a:lumMod val="65000"/>
                <a:lumOff val="35000"/>
              </a:schemeClr>
            </a:solidFill>
          </a:endParaRPr>
        </a:p>
      </xdr:txBody>
    </xdr:sp>
    <xdr:clientData/>
  </xdr:twoCellAnchor>
  <xdr:twoCellAnchor>
    <xdr:from>
      <xdr:col>1</xdr:col>
      <xdr:colOff>1838325</xdr:colOff>
      <xdr:row>5</xdr:row>
      <xdr:rowOff>133349</xdr:rowOff>
    </xdr:from>
    <xdr:to>
      <xdr:col>1</xdr:col>
      <xdr:colOff>3362325</xdr:colOff>
      <xdr:row>6</xdr:row>
      <xdr:rowOff>314325</xdr:rowOff>
    </xdr:to>
    <xdr:sp macro="" textlink="">
      <xdr:nvSpPr>
        <xdr:cNvPr id="7" name="TextBox 6">
          <a:extLst>
            <a:ext uri="{FF2B5EF4-FFF2-40B4-BE49-F238E27FC236}">
              <a16:creationId xmlns:a16="http://schemas.microsoft.com/office/drawing/2014/main" id="{51D8A2E9-986D-81FF-E2C6-0579DAA44BBB}"/>
            </a:ext>
          </a:extLst>
        </xdr:cNvPr>
        <xdr:cNvSpPr txBox="1"/>
      </xdr:nvSpPr>
      <xdr:spPr>
        <a:xfrm>
          <a:off x="2038350" y="1238249"/>
          <a:ext cx="1524000" cy="457201"/>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tx1">
                  <a:lumMod val="65000"/>
                  <a:lumOff val="35000"/>
                </a:schemeClr>
              </a:solidFill>
            </a:rPr>
            <a:t>RETURN</a:t>
          </a:r>
          <a:r>
            <a:rPr lang="en-US" sz="1100" baseline="0">
              <a:solidFill>
                <a:schemeClr val="tx1">
                  <a:lumMod val="65000"/>
                  <a:lumOff val="35000"/>
                </a:schemeClr>
              </a:solidFill>
            </a:rPr>
            <a:t> TO </a:t>
          </a:r>
          <a:r>
            <a:rPr lang="en-US" sz="1100" b="1" baseline="0">
              <a:solidFill>
                <a:schemeClr val="tx1">
                  <a:lumMod val="65000"/>
                  <a:lumOff val="35000"/>
                </a:schemeClr>
              </a:solidFill>
            </a:rPr>
            <a:t>PART A </a:t>
          </a:r>
          <a:r>
            <a:rPr lang="en-US" sz="1100" baseline="0">
              <a:solidFill>
                <a:schemeClr val="tx1">
                  <a:lumMod val="65000"/>
                  <a:lumOff val="35000"/>
                </a:schemeClr>
              </a:solidFill>
            </a:rPr>
            <a:t>- OCCPC Report</a:t>
          </a:r>
          <a:endParaRPr lang="en-US" sz="1100">
            <a:solidFill>
              <a:schemeClr val="tx1">
                <a:lumMod val="65000"/>
                <a:lumOff val="35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19</xdr:col>
          <xdr:colOff>19050</xdr:colOff>
          <xdr:row>10</xdr:row>
          <xdr:rowOff>57150</xdr:rowOff>
        </xdr:from>
        <xdr:to>
          <xdr:col>22</xdr:col>
          <xdr:colOff>28575</xdr:colOff>
          <xdr:row>12</xdr:row>
          <xdr:rowOff>57150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6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3</xdr:col>
      <xdr:colOff>224790</xdr:colOff>
      <xdr:row>2</xdr:row>
      <xdr:rowOff>60130</xdr:rowOff>
    </xdr:from>
    <xdr:to>
      <xdr:col>5</xdr:col>
      <xdr:colOff>809625</xdr:colOff>
      <xdr:row>6</xdr:row>
      <xdr:rowOff>124381</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2948940" y="431605"/>
          <a:ext cx="1432560" cy="90245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15</xdr:col>
          <xdr:colOff>57150</xdr:colOff>
          <xdr:row>15</xdr:row>
          <xdr:rowOff>28575</xdr:rowOff>
        </xdr:from>
        <xdr:to>
          <xdr:col>16</xdr:col>
          <xdr:colOff>123825</xdr:colOff>
          <xdr:row>17</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28575</xdr:rowOff>
        </xdr:from>
        <xdr:to>
          <xdr:col>13</xdr:col>
          <xdr:colOff>266700</xdr:colOff>
          <xdr:row>17</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xdr:row>
          <xdr:rowOff>28575</xdr:rowOff>
        </xdr:from>
        <xdr:to>
          <xdr:col>11</xdr:col>
          <xdr:colOff>123825</xdr:colOff>
          <xdr:row>17</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209549</xdr:colOff>
      <xdr:row>6</xdr:row>
      <xdr:rowOff>47625</xdr:rowOff>
    </xdr:from>
    <xdr:to>
      <xdr:col>2</xdr:col>
      <xdr:colOff>1933575</xdr:colOff>
      <xdr:row>11</xdr:row>
      <xdr:rowOff>9525</xdr:rowOff>
    </xdr:to>
    <xdr:sp macro="" textlink="">
      <xdr:nvSpPr>
        <xdr:cNvPr id="3" name="TextBox 2">
          <a:hlinkClick xmlns:r="http://schemas.openxmlformats.org/officeDocument/2006/relationships" r:id="rId2"/>
          <a:extLst>
            <a:ext uri="{FF2B5EF4-FFF2-40B4-BE49-F238E27FC236}">
              <a16:creationId xmlns:a16="http://schemas.microsoft.com/office/drawing/2014/main" id="{721F8D1A-A122-C2E5-89C3-CEC2ED9C26E4}"/>
            </a:ext>
          </a:extLst>
        </xdr:cNvPr>
        <xdr:cNvSpPr txBox="1"/>
      </xdr:nvSpPr>
      <xdr:spPr>
        <a:xfrm>
          <a:off x="819149" y="1257300"/>
          <a:ext cx="1724026" cy="70485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0">
              <a:solidFill>
                <a:schemeClr val="tx1">
                  <a:lumMod val="65000"/>
                  <a:lumOff val="35000"/>
                </a:schemeClr>
              </a:solidFill>
            </a:rPr>
            <a:t>RETURN</a:t>
          </a:r>
          <a:r>
            <a:rPr lang="en-US" sz="1100" b="0" baseline="0">
              <a:solidFill>
                <a:schemeClr val="tx1">
                  <a:lumMod val="65000"/>
                  <a:lumOff val="35000"/>
                </a:schemeClr>
              </a:solidFill>
            </a:rPr>
            <a:t> TO </a:t>
          </a:r>
          <a:r>
            <a:rPr lang="en-US" sz="1100" b="1" baseline="0">
              <a:solidFill>
                <a:schemeClr val="tx1">
                  <a:lumMod val="65000"/>
                  <a:lumOff val="35000"/>
                </a:schemeClr>
              </a:solidFill>
            </a:rPr>
            <a:t>PART B </a:t>
          </a:r>
          <a:r>
            <a:rPr lang="en-US" sz="1100" b="0" baseline="0">
              <a:solidFill>
                <a:schemeClr val="tx1">
                  <a:lumMod val="65000"/>
                  <a:lumOff val="35000"/>
                </a:schemeClr>
              </a:solidFill>
            </a:rPr>
            <a:t>- Supplemental Certification Form</a:t>
          </a:r>
          <a:endParaRPr lang="en-US" sz="1100" b="0">
            <a:solidFill>
              <a:schemeClr val="tx1">
                <a:lumMod val="65000"/>
                <a:lumOff val="35000"/>
              </a:schemeClr>
            </a:solidFill>
          </a:endParaRPr>
        </a:p>
      </xdr:txBody>
    </xdr:sp>
    <xdr:clientData/>
  </xdr:twoCellAnchor>
  <xdr:twoCellAnchor>
    <xdr:from>
      <xdr:col>0</xdr:col>
      <xdr:colOff>600075</xdr:colOff>
      <xdr:row>139</xdr:row>
      <xdr:rowOff>266701</xdr:rowOff>
    </xdr:from>
    <xdr:to>
      <xdr:col>2</xdr:col>
      <xdr:colOff>1990725</xdr:colOff>
      <xdr:row>141</xdr:row>
      <xdr:rowOff>1666876</xdr:rowOff>
    </xdr:to>
    <xdr:sp macro="" textlink="">
      <xdr:nvSpPr>
        <xdr:cNvPr id="4" name="TextBox 3">
          <a:extLst>
            <a:ext uri="{FF2B5EF4-FFF2-40B4-BE49-F238E27FC236}">
              <a16:creationId xmlns:a16="http://schemas.microsoft.com/office/drawing/2014/main" id="{5FD69CEF-9051-9BEB-687C-D82915A7ED0D}"/>
            </a:ext>
          </a:extLst>
        </xdr:cNvPr>
        <xdr:cNvSpPr txBox="1"/>
      </xdr:nvSpPr>
      <xdr:spPr>
        <a:xfrm>
          <a:off x="600075" y="25365076"/>
          <a:ext cx="2597150" cy="186055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latin typeface="Aptos Narrow" panose="020B0004020202020204" pitchFamily="34" charset="0"/>
            </a:rPr>
            <a:t>NOTE</a:t>
          </a:r>
          <a:r>
            <a:rPr lang="en-US" sz="1100">
              <a:latin typeface="Aptos Narrow" panose="020B0004020202020204" pitchFamily="34" charset="0"/>
            </a:rPr>
            <a:t>:  The AOC Report can ONLY be EXECUTED by the owner of record for the Property.  If there has been a change in the ownership GP/approved signatory since the last AOC Report submittal, remit a copy of the Ownership Schematic, Operating Agreement, Resolution, Bylaws, or Minutes to support the change.  NOTE:  Processing fees may apply.</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57150</xdr:colOff>
          <xdr:row>23</xdr:row>
          <xdr:rowOff>28575</xdr:rowOff>
        </xdr:from>
        <xdr:to>
          <xdr:col>22</xdr:col>
          <xdr:colOff>38100</xdr:colOff>
          <xdr:row>23</xdr:row>
          <xdr:rowOff>247650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8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290930</xdr:colOff>
      <xdr:row>1</xdr:row>
      <xdr:rowOff>220980</xdr:rowOff>
    </xdr:from>
    <xdr:to>
      <xdr:col>8</xdr:col>
      <xdr:colOff>480060</xdr:colOff>
      <xdr:row>5</xdr:row>
      <xdr:rowOff>350154</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4161890" y="403860"/>
          <a:ext cx="1804570" cy="1135014"/>
        </a:xfrm>
        <a:prstGeom prst="rect">
          <a:avLst/>
        </a:prstGeom>
      </xdr:spPr>
    </xdr:pic>
    <xdr:clientData/>
  </xdr:twoCellAnchor>
  <xdr:twoCellAnchor>
    <xdr:from>
      <xdr:col>2</xdr:col>
      <xdr:colOff>1866900</xdr:colOff>
      <xdr:row>5</xdr:row>
      <xdr:rowOff>352425</xdr:rowOff>
    </xdr:from>
    <xdr:to>
      <xdr:col>2</xdr:col>
      <xdr:colOff>3409950</xdr:colOff>
      <xdr:row>10</xdr:row>
      <xdr:rowOff>57150</xdr:rowOff>
    </xdr:to>
    <xdr:sp macro="" textlink="">
      <xdr:nvSpPr>
        <xdr:cNvPr id="2" name="TextBox 1">
          <a:extLst>
            <a:ext uri="{FF2B5EF4-FFF2-40B4-BE49-F238E27FC236}">
              <a16:creationId xmlns:a16="http://schemas.microsoft.com/office/drawing/2014/main" id="{33424A56-F9F9-4D05-C85F-2975176E1A47}"/>
            </a:ext>
          </a:extLst>
        </xdr:cNvPr>
        <xdr:cNvSpPr txBox="1"/>
      </xdr:nvSpPr>
      <xdr:spPr>
        <a:xfrm>
          <a:off x="2066925" y="1543050"/>
          <a:ext cx="1543050" cy="63817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tx1">
                  <a:lumMod val="65000"/>
                  <a:lumOff val="35000"/>
                </a:schemeClr>
              </a:solidFill>
            </a:rPr>
            <a:t>RETURN</a:t>
          </a:r>
          <a:r>
            <a:rPr lang="en-US" sz="1100" baseline="0">
              <a:solidFill>
                <a:schemeClr val="tx1">
                  <a:lumMod val="65000"/>
                  <a:lumOff val="35000"/>
                </a:schemeClr>
              </a:solidFill>
            </a:rPr>
            <a:t> TO </a:t>
          </a:r>
          <a:r>
            <a:rPr lang="en-US" sz="1100" b="1" baseline="0">
              <a:solidFill>
                <a:schemeClr val="tx1">
                  <a:lumMod val="65000"/>
                  <a:lumOff val="35000"/>
                </a:schemeClr>
              </a:solidFill>
            </a:rPr>
            <a:t>PART B </a:t>
          </a:r>
          <a:r>
            <a:rPr lang="en-US" sz="1100" baseline="0">
              <a:solidFill>
                <a:schemeClr val="tx1">
                  <a:lumMod val="65000"/>
                  <a:lumOff val="35000"/>
                </a:schemeClr>
              </a:solidFill>
            </a:rPr>
            <a:t>- Supplemental Certification Form</a:t>
          </a:r>
          <a:endParaRPr lang="en-US" sz="1100">
            <a:solidFill>
              <a:schemeClr val="tx1">
                <a:lumMod val="65000"/>
                <a:lumOff val="35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archivemhc.com/col/" TargetMode="Externa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129.xml"/><Relationship Id="rId5" Type="http://schemas.openxmlformats.org/officeDocument/2006/relationships/ctrlProp" Target="../ctrlProps/ctrlProp128.xml"/><Relationship Id="rId4" Type="http://schemas.openxmlformats.org/officeDocument/2006/relationships/ctrlProp" Target="../ctrlProps/ctrlProp12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hyperlink" Target="mailto:compliance.htc@mshc.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7" Type="http://schemas.openxmlformats.org/officeDocument/2006/relationships/ctrlProp" Target="../ctrlProps/ctrlProp3.xml"/><Relationship Id="rId2" Type="http://schemas.openxmlformats.org/officeDocument/2006/relationships/printerSettings" Target="../printerSettings/printerSettings3.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1" Type="http://schemas.openxmlformats.org/officeDocument/2006/relationships/hyperlink" Target="mailto:compliance.htc@mshc.com"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67.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archivemhc.com/col/login.aspx" TargetMode="Externa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2.xml"/><Relationship Id="rId13" Type="http://schemas.openxmlformats.org/officeDocument/2006/relationships/ctrlProp" Target="../ctrlProps/ctrlProp77.xml"/><Relationship Id="rId3" Type="http://schemas.openxmlformats.org/officeDocument/2006/relationships/vmlDrawing" Target="../drawings/vmlDrawing3.vml"/><Relationship Id="rId7" Type="http://schemas.openxmlformats.org/officeDocument/2006/relationships/ctrlProp" Target="../ctrlProps/ctrlProp71.xml"/><Relationship Id="rId12" Type="http://schemas.openxmlformats.org/officeDocument/2006/relationships/ctrlProp" Target="../ctrlProps/ctrlProp76.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70.xml"/><Relationship Id="rId11" Type="http://schemas.openxmlformats.org/officeDocument/2006/relationships/ctrlProp" Target="../ctrlProps/ctrlProp75.xml"/><Relationship Id="rId5" Type="http://schemas.openxmlformats.org/officeDocument/2006/relationships/ctrlProp" Target="../ctrlProps/ctrlProp69.xml"/><Relationship Id="rId15" Type="http://schemas.openxmlformats.org/officeDocument/2006/relationships/ctrlProp" Target="../ctrlProps/ctrlProp79.xml"/><Relationship Id="rId10" Type="http://schemas.openxmlformats.org/officeDocument/2006/relationships/ctrlProp" Target="../ctrlProps/ctrlProp74.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89.xml"/><Relationship Id="rId18" Type="http://schemas.openxmlformats.org/officeDocument/2006/relationships/ctrlProp" Target="../ctrlProps/ctrlProp94.xml"/><Relationship Id="rId26" Type="http://schemas.openxmlformats.org/officeDocument/2006/relationships/ctrlProp" Target="../ctrlProps/ctrlProp102.xml"/><Relationship Id="rId39" Type="http://schemas.openxmlformats.org/officeDocument/2006/relationships/ctrlProp" Target="../ctrlProps/ctrlProp115.xml"/><Relationship Id="rId21" Type="http://schemas.openxmlformats.org/officeDocument/2006/relationships/ctrlProp" Target="../ctrlProps/ctrlProp97.xml"/><Relationship Id="rId34" Type="http://schemas.openxmlformats.org/officeDocument/2006/relationships/ctrlProp" Target="../ctrlProps/ctrlProp110.xml"/><Relationship Id="rId42" Type="http://schemas.openxmlformats.org/officeDocument/2006/relationships/ctrlProp" Target="../ctrlProps/ctrlProp118.xml"/><Relationship Id="rId7" Type="http://schemas.openxmlformats.org/officeDocument/2006/relationships/ctrlProp" Target="../ctrlProps/ctrlProp83.xml"/><Relationship Id="rId2" Type="http://schemas.openxmlformats.org/officeDocument/2006/relationships/drawing" Target="../drawings/drawing7.xml"/><Relationship Id="rId16" Type="http://schemas.openxmlformats.org/officeDocument/2006/relationships/ctrlProp" Target="../ctrlProps/ctrlProp92.xml"/><Relationship Id="rId29" Type="http://schemas.openxmlformats.org/officeDocument/2006/relationships/ctrlProp" Target="../ctrlProps/ctrlProp105.xml"/><Relationship Id="rId1" Type="http://schemas.openxmlformats.org/officeDocument/2006/relationships/printerSettings" Target="../printerSettings/printerSettings7.bin"/><Relationship Id="rId6" Type="http://schemas.openxmlformats.org/officeDocument/2006/relationships/ctrlProp" Target="../ctrlProps/ctrlProp82.xml"/><Relationship Id="rId11" Type="http://schemas.openxmlformats.org/officeDocument/2006/relationships/ctrlProp" Target="../ctrlProps/ctrlProp87.xml"/><Relationship Id="rId24" Type="http://schemas.openxmlformats.org/officeDocument/2006/relationships/ctrlProp" Target="../ctrlProps/ctrlProp100.xml"/><Relationship Id="rId32" Type="http://schemas.openxmlformats.org/officeDocument/2006/relationships/ctrlProp" Target="../ctrlProps/ctrlProp108.xml"/><Relationship Id="rId37" Type="http://schemas.openxmlformats.org/officeDocument/2006/relationships/ctrlProp" Target="../ctrlProps/ctrlProp113.xml"/><Relationship Id="rId40" Type="http://schemas.openxmlformats.org/officeDocument/2006/relationships/ctrlProp" Target="../ctrlProps/ctrlProp116.xml"/><Relationship Id="rId45" Type="http://schemas.openxmlformats.org/officeDocument/2006/relationships/ctrlProp" Target="../ctrlProps/ctrlProp121.xml"/><Relationship Id="rId5" Type="http://schemas.openxmlformats.org/officeDocument/2006/relationships/ctrlProp" Target="../ctrlProps/ctrlProp81.xml"/><Relationship Id="rId15" Type="http://schemas.openxmlformats.org/officeDocument/2006/relationships/ctrlProp" Target="../ctrlProps/ctrlProp91.xml"/><Relationship Id="rId23" Type="http://schemas.openxmlformats.org/officeDocument/2006/relationships/ctrlProp" Target="../ctrlProps/ctrlProp99.xml"/><Relationship Id="rId28" Type="http://schemas.openxmlformats.org/officeDocument/2006/relationships/ctrlProp" Target="../ctrlProps/ctrlProp104.xml"/><Relationship Id="rId36" Type="http://schemas.openxmlformats.org/officeDocument/2006/relationships/ctrlProp" Target="../ctrlProps/ctrlProp112.xml"/><Relationship Id="rId10" Type="http://schemas.openxmlformats.org/officeDocument/2006/relationships/ctrlProp" Target="../ctrlProps/ctrlProp86.xml"/><Relationship Id="rId19" Type="http://schemas.openxmlformats.org/officeDocument/2006/relationships/ctrlProp" Target="../ctrlProps/ctrlProp95.xml"/><Relationship Id="rId31" Type="http://schemas.openxmlformats.org/officeDocument/2006/relationships/ctrlProp" Target="../ctrlProps/ctrlProp107.xml"/><Relationship Id="rId44" Type="http://schemas.openxmlformats.org/officeDocument/2006/relationships/ctrlProp" Target="../ctrlProps/ctrlProp120.xml"/><Relationship Id="rId4" Type="http://schemas.openxmlformats.org/officeDocument/2006/relationships/ctrlProp" Target="../ctrlProps/ctrlProp80.xml"/><Relationship Id="rId9" Type="http://schemas.openxmlformats.org/officeDocument/2006/relationships/ctrlProp" Target="../ctrlProps/ctrlProp85.xml"/><Relationship Id="rId14" Type="http://schemas.openxmlformats.org/officeDocument/2006/relationships/ctrlProp" Target="../ctrlProps/ctrlProp90.xml"/><Relationship Id="rId22" Type="http://schemas.openxmlformats.org/officeDocument/2006/relationships/ctrlProp" Target="../ctrlProps/ctrlProp98.xml"/><Relationship Id="rId27" Type="http://schemas.openxmlformats.org/officeDocument/2006/relationships/ctrlProp" Target="../ctrlProps/ctrlProp103.xml"/><Relationship Id="rId30" Type="http://schemas.openxmlformats.org/officeDocument/2006/relationships/ctrlProp" Target="../ctrlProps/ctrlProp106.xml"/><Relationship Id="rId35" Type="http://schemas.openxmlformats.org/officeDocument/2006/relationships/ctrlProp" Target="../ctrlProps/ctrlProp111.xml"/><Relationship Id="rId43" Type="http://schemas.openxmlformats.org/officeDocument/2006/relationships/ctrlProp" Target="../ctrlProps/ctrlProp119.xml"/><Relationship Id="rId8" Type="http://schemas.openxmlformats.org/officeDocument/2006/relationships/ctrlProp" Target="../ctrlProps/ctrlProp84.xml"/><Relationship Id="rId3" Type="http://schemas.openxmlformats.org/officeDocument/2006/relationships/vmlDrawing" Target="../drawings/vmlDrawing4.vml"/><Relationship Id="rId12" Type="http://schemas.openxmlformats.org/officeDocument/2006/relationships/ctrlProp" Target="../ctrlProps/ctrlProp88.xml"/><Relationship Id="rId17" Type="http://schemas.openxmlformats.org/officeDocument/2006/relationships/ctrlProp" Target="../ctrlProps/ctrlProp93.xml"/><Relationship Id="rId25" Type="http://schemas.openxmlformats.org/officeDocument/2006/relationships/ctrlProp" Target="../ctrlProps/ctrlProp101.xml"/><Relationship Id="rId33" Type="http://schemas.openxmlformats.org/officeDocument/2006/relationships/ctrlProp" Target="../ctrlProps/ctrlProp109.xml"/><Relationship Id="rId38" Type="http://schemas.openxmlformats.org/officeDocument/2006/relationships/ctrlProp" Target="../ctrlProps/ctrlProp114.xml"/><Relationship Id="rId46" Type="http://schemas.openxmlformats.org/officeDocument/2006/relationships/ctrlProp" Target="../ctrlProps/ctrlProp122.xml"/><Relationship Id="rId20" Type="http://schemas.openxmlformats.org/officeDocument/2006/relationships/ctrlProp" Target="../ctrlProps/ctrlProp96.xml"/><Relationship Id="rId41" Type="http://schemas.openxmlformats.org/officeDocument/2006/relationships/ctrlProp" Target="../ctrlProps/ctrlProp11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125.xml"/><Relationship Id="rId5" Type="http://schemas.openxmlformats.org/officeDocument/2006/relationships/ctrlProp" Target="../ctrlProps/ctrlProp124.xml"/><Relationship Id="rId4" Type="http://schemas.openxmlformats.org/officeDocument/2006/relationships/ctrlProp" Target="../ctrlProps/ctrlProp12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trlProp" Target="../ctrlProps/ctrlProp1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
    <tabColor theme="9" tint="0.39997558519241921"/>
  </sheetPr>
  <dimension ref="C2:T59"/>
  <sheetViews>
    <sheetView showGridLines="0" zoomScaleNormal="100" workbookViewId="0">
      <selection activeCell="S41" sqref="S41"/>
    </sheetView>
  </sheetViews>
  <sheetFormatPr defaultColWidth="8.85546875" defaultRowHeight="15" x14ac:dyDescent="0.25"/>
  <cols>
    <col min="1" max="1" width="8.85546875" style="3"/>
    <col min="2" max="2" width="36.140625" style="3" customWidth="1"/>
    <col min="3" max="16384" width="8.85546875" style="3"/>
  </cols>
  <sheetData>
    <row r="2" spans="3:15" ht="15" customHeight="1" x14ac:dyDescent="0.25">
      <c r="C2" s="309"/>
      <c r="D2" s="309"/>
      <c r="E2" s="309"/>
      <c r="F2" s="309"/>
      <c r="G2" s="309"/>
      <c r="H2" s="309"/>
      <c r="I2" s="309"/>
      <c r="J2" s="309"/>
      <c r="K2" s="309"/>
      <c r="L2" s="309"/>
      <c r="M2" s="309"/>
      <c r="N2" s="309"/>
      <c r="O2" s="309"/>
    </row>
    <row r="3" spans="3:15" ht="15" customHeight="1" x14ac:dyDescent="0.25">
      <c r="C3" s="309"/>
      <c r="D3" s="309"/>
      <c r="E3" s="309"/>
      <c r="F3" s="309"/>
      <c r="G3" s="309"/>
      <c r="H3" s="309"/>
      <c r="I3" s="309"/>
      <c r="J3" s="309"/>
      <c r="K3" s="309"/>
      <c r="L3" s="309"/>
      <c r="M3" s="309"/>
      <c r="N3" s="309"/>
      <c r="O3" s="309"/>
    </row>
    <row r="4" spans="3:15" ht="15" customHeight="1" x14ac:dyDescent="0.25">
      <c r="C4" s="378">
        <v>2025</v>
      </c>
      <c r="D4" s="378"/>
      <c r="E4" s="378"/>
      <c r="F4" s="378"/>
      <c r="G4" s="378"/>
      <c r="H4" s="378"/>
      <c r="I4" s="378"/>
      <c r="J4" s="378"/>
      <c r="K4" s="378"/>
      <c r="L4" s="378"/>
      <c r="M4" s="378"/>
      <c r="N4" s="378"/>
      <c r="O4" s="378"/>
    </row>
    <row r="5" spans="3:15" ht="15" customHeight="1" x14ac:dyDescent="0.25">
      <c r="C5" s="378"/>
      <c r="D5" s="378"/>
      <c r="E5" s="378"/>
      <c r="F5" s="378"/>
      <c r="G5" s="378"/>
      <c r="H5" s="378"/>
      <c r="I5" s="378"/>
      <c r="J5" s="378"/>
      <c r="K5" s="378"/>
      <c r="L5" s="378"/>
      <c r="M5" s="378"/>
      <c r="N5" s="378"/>
      <c r="O5" s="378"/>
    </row>
    <row r="6" spans="3:15" ht="15" customHeight="1" x14ac:dyDescent="0.25">
      <c r="C6" s="378"/>
      <c r="D6" s="378"/>
      <c r="E6" s="378"/>
      <c r="F6" s="378"/>
      <c r="G6" s="378"/>
      <c r="H6" s="378"/>
      <c r="I6" s="378"/>
      <c r="J6" s="378"/>
      <c r="K6" s="378"/>
      <c r="L6" s="378"/>
      <c r="M6" s="378"/>
      <c r="N6" s="378"/>
      <c r="O6" s="378"/>
    </row>
    <row r="7" spans="3:15" ht="15" customHeight="1" x14ac:dyDescent="0.25">
      <c r="C7" s="378"/>
      <c r="D7" s="378"/>
      <c r="E7" s="378"/>
      <c r="F7" s="378"/>
      <c r="G7" s="378"/>
      <c r="H7" s="378"/>
      <c r="I7" s="378"/>
      <c r="J7" s="378"/>
      <c r="K7" s="378"/>
      <c r="L7" s="378"/>
      <c r="M7" s="378"/>
      <c r="N7" s="378"/>
      <c r="O7" s="378"/>
    </row>
    <row r="8" spans="3:15" ht="15" customHeight="1" x14ac:dyDescent="0.25">
      <c r="C8" s="378"/>
      <c r="D8" s="378"/>
      <c r="E8" s="378"/>
      <c r="F8" s="378"/>
      <c r="G8" s="378"/>
      <c r="H8" s="378"/>
      <c r="I8" s="378"/>
      <c r="J8" s="378"/>
      <c r="K8" s="378"/>
      <c r="L8" s="378"/>
      <c r="M8" s="378"/>
      <c r="N8" s="378"/>
      <c r="O8" s="378"/>
    </row>
    <row r="9" spans="3:15" ht="15" customHeight="1" x14ac:dyDescent="0.25">
      <c r="C9" s="378"/>
      <c r="D9" s="378"/>
      <c r="E9" s="378"/>
      <c r="F9" s="378"/>
      <c r="G9" s="378"/>
      <c r="H9" s="378"/>
      <c r="I9" s="378"/>
      <c r="J9" s="378"/>
      <c r="K9" s="378"/>
      <c r="L9" s="378"/>
      <c r="M9" s="378"/>
      <c r="N9" s="378"/>
      <c r="O9" s="378"/>
    </row>
    <row r="10" spans="3:15" ht="15" customHeight="1" x14ac:dyDescent="0.25">
      <c r="C10" s="378"/>
      <c r="D10" s="378"/>
      <c r="E10" s="378"/>
      <c r="F10" s="378"/>
      <c r="G10" s="378"/>
      <c r="H10" s="378"/>
      <c r="I10" s="378"/>
      <c r="J10" s="378"/>
      <c r="K10" s="378"/>
      <c r="L10" s="378"/>
      <c r="M10" s="378"/>
      <c r="N10" s="378"/>
      <c r="O10" s="378"/>
    </row>
    <row r="11" spans="3:15" ht="15" customHeight="1" x14ac:dyDescent="0.25">
      <c r="C11" s="378"/>
      <c r="D11" s="378"/>
      <c r="E11" s="378"/>
      <c r="F11" s="378"/>
      <c r="G11" s="378"/>
      <c r="H11" s="378"/>
      <c r="I11" s="378"/>
      <c r="J11" s="378"/>
      <c r="K11" s="378"/>
      <c r="L11" s="378"/>
      <c r="M11" s="378"/>
      <c r="N11" s="378"/>
      <c r="O11" s="378"/>
    </row>
    <row r="12" spans="3:15" ht="15" customHeight="1" x14ac:dyDescent="0.25">
      <c r="C12" s="379" t="s">
        <v>390</v>
      </c>
      <c r="D12" s="379"/>
      <c r="E12" s="379"/>
      <c r="F12" s="379"/>
      <c r="G12" s="379"/>
      <c r="H12" s="379"/>
      <c r="I12" s="379"/>
      <c r="J12" s="379"/>
      <c r="K12" s="379"/>
      <c r="L12" s="379"/>
      <c r="M12" s="379"/>
      <c r="N12" s="379"/>
      <c r="O12" s="379"/>
    </row>
    <row r="13" spans="3:15" ht="15" customHeight="1" x14ac:dyDescent="0.25">
      <c r="C13" s="379"/>
      <c r="D13" s="379"/>
      <c r="E13" s="379"/>
      <c r="F13" s="379"/>
      <c r="G13" s="379"/>
      <c r="H13" s="379"/>
      <c r="I13" s="379"/>
      <c r="J13" s="379"/>
      <c r="K13" s="379"/>
      <c r="L13" s="379"/>
      <c r="M13" s="379"/>
      <c r="N13" s="379"/>
      <c r="O13" s="379"/>
    </row>
    <row r="14" spans="3:15" ht="15" customHeight="1" x14ac:dyDescent="0.25">
      <c r="C14" s="379"/>
      <c r="D14" s="379"/>
      <c r="E14" s="379"/>
      <c r="F14" s="379"/>
      <c r="G14" s="379"/>
      <c r="H14" s="379"/>
      <c r="I14" s="379"/>
      <c r="J14" s="379"/>
      <c r="K14" s="379"/>
      <c r="L14" s="379"/>
      <c r="M14" s="379"/>
      <c r="N14" s="379"/>
      <c r="O14" s="379"/>
    </row>
    <row r="15" spans="3:15" ht="15" customHeight="1" x14ac:dyDescent="0.25">
      <c r="C15" s="379"/>
      <c r="D15" s="379"/>
      <c r="E15" s="379"/>
      <c r="F15" s="379"/>
      <c r="G15" s="379"/>
      <c r="H15" s="379"/>
      <c r="I15" s="379"/>
      <c r="J15" s="379"/>
      <c r="K15" s="379"/>
      <c r="L15" s="379"/>
      <c r="M15" s="379"/>
      <c r="N15" s="379"/>
      <c r="O15" s="379"/>
    </row>
    <row r="16" spans="3:15" ht="15" customHeight="1" x14ac:dyDescent="0.25">
      <c r="C16" s="379"/>
      <c r="D16" s="379"/>
      <c r="E16" s="379"/>
      <c r="F16" s="379"/>
      <c r="G16" s="379"/>
      <c r="H16" s="379"/>
      <c r="I16" s="379"/>
      <c r="J16" s="379"/>
      <c r="K16" s="379"/>
      <c r="L16" s="379"/>
      <c r="M16" s="379"/>
      <c r="N16" s="379"/>
      <c r="O16" s="379"/>
    </row>
    <row r="17" spans="3:20" ht="15" customHeight="1" x14ac:dyDescent="0.25">
      <c r="C17" s="379"/>
      <c r="D17" s="379"/>
      <c r="E17" s="379"/>
      <c r="F17" s="379"/>
      <c r="G17" s="379"/>
      <c r="H17" s="379"/>
      <c r="I17" s="379"/>
      <c r="J17" s="379"/>
      <c r="K17" s="379"/>
      <c r="L17" s="379"/>
      <c r="M17" s="379"/>
      <c r="N17" s="379"/>
      <c r="O17" s="379"/>
    </row>
    <row r="18" spans="3:20" ht="15" customHeight="1" x14ac:dyDescent="0.25">
      <c r="C18" s="379"/>
      <c r="D18" s="379"/>
      <c r="E18" s="379"/>
      <c r="F18" s="379"/>
      <c r="G18" s="379"/>
      <c r="H18" s="379"/>
      <c r="I18" s="379"/>
      <c r="J18" s="379"/>
      <c r="K18" s="379"/>
      <c r="L18" s="379"/>
      <c r="M18" s="379"/>
      <c r="N18" s="379"/>
      <c r="O18" s="379"/>
    </row>
    <row r="19" spans="3:20" ht="15" customHeight="1" x14ac:dyDescent="0.25">
      <c r="C19" s="379"/>
      <c r="D19" s="379"/>
      <c r="E19" s="379"/>
      <c r="F19" s="379"/>
      <c r="G19" s="379"/>
      <c r="H19" s="379"/>
      <c r="I19" s="379"/>
      <c r="J19" s="379"/>
      <c r="K19" s="379"/>
      <c r="L19" s="379"/>
      <c r="M19" s="379"/>
      <c r="N19" s="379"/>
      <c r="O19" s="379"/>
    </row>
    <row r="20" spans="3:20" ht="15" customHeight="1" x14ac:dyDescent="0.25">
      <c r="C20" s="379"/>
      <c r="D20" s="379"/>
      <c r="E20" s="379"/>
      <c r="F20" s="379"/>
      <c r="G20" s="379"/>
      <c r="H20" s="379"/>
      <c r="I20" s="379"/>
      <c r="J20" s="379"/>
      <c r="K20" s="379"/>
      <c r="L20" s="379"/>
      <c r="M20" s="379"/>
      <c r="N20" s="379"/>
      <c r="O20" s="379"/>
    </row>
    <row r="21" spans="3:20" ht="15" customHeight="1" x14ac:dyDescent="0.25">
      <c r="C21" s="379"/>
      <c r="D21" s="379"/>
      <c r="E21" s="379"/>
      <c r="F21" s="379"/>
      <c r="G21" s="379"/>
      <c r="H21" s="379"/>
      <c r="I21" s="379"/>
      <c r="J21" s="379"/>
      <c r="K21" s="379"/>
      <c r="L21" s="379"/>
      <c r="M21" s="379"/>
      <c r="N21" s="379"/>
      <c r="O21" s="379"/>
    </row>
    <row r="22" spans="3:20" ht="15" customHeight="1" x14ac:dyDescent="0.25">
      <c r="C22" s="379"/>
      <c r="D22" s="379"/>
      <c r="E22" s="379"/>
      <c r="F22" s="379"/>
      <c r="G22" s="379"/>
      <c r="H22" s="379"/>
      <c r="I22" s="379"/>
      <c r="J22" s="379"/>
      <c r="K22" s="379"/>
      <c r="L22" s="379"/>
      <c r="M22" s="379"/>
      <c r="N22" s="379"/>
      <c r="O22" s="379"/>
    </row>
    <row r="23" spans="3:20" ht="15" customHeight="1" x14ac:dyDescent="0.25">
      <c r="C23" s="379"/>
      <c r="D23" s="379"/>
      <c r="E23" s="379"/>
      <c r="F23" s="379"/>
      <c r="G23" s="379"/>
      <c r="H23" s="379"/>
      <c r="I23" s="379"/>
      <c r="J23" s="379"/>
      <c r="K23" s="379"/>
      <c r="L23" s="379"/>
      <c r="M23" s="379"/>
      <c r="N23" s="379"/>
      <c r="O23" s="379"/>
    </row>
    <row r="24" spans="3:20" ht="15" customHeight="1" x14ac:dyDescent="0.25">
      <c r="C24" s="379"/>
      <c r="D24" s="379"/>
      <c r="E24" s="379"/>
      <c r="F24" s="379"/>
      <c r="G24" s="379"/>
      <c r="H24" s="379"/>
      <c r="I24" s="379"/>
      <c r="J24" s="379"/>
      <c r="K24" s="379"/>
      <c r="L24" s="379"/>
      <c r="M24" s="379"/>
      <c r="N24" s="379"/>
      <c r="O24" s="379"/>
      <c r="T24" s="300"/>
    </row>
    <row r="25" spans="3:20" ht="15" customHeight="1" x14ac:dyDescent="0.25">
      <c r="C25" s="379"/>
      <c r="D25" s="379"/>
      <c r="E25" s="379"/>
      <c r="F25" s="379"/>
      <c r="G25" s="379"/>
      <c r="H25" s="379"/>
      <c r="I25" s="379"/>
      <c r="J25" s="379"/>
      <c r="K25" s="379"/>
      <c r="L25" s="379"/>
      <c r="M25" s="379"/>
      <c r="N25" s="379"/>
      <c r="O25" s="379"/>
    </row>
    <row r="26" spans="3:20" ht="15" customHeight="1" x14ac:dyDescent="0.25">
      <c r="C26" s="379"/>
      <c r="D26" s="379"/>
      <c r="E26" s="379"/>
      <c r="F26" s="379"/>
      <c r="G26" s="379"/>
      <c r="H26" s="379"/>
      <c r="I26" s="379"/>
      <c r="J26" s="379"/>
      <c r="K26" s="379"/>
      <c r="L26" s="379"/>
      <c r="M26" s="379"/>
      <c r="N26" s="379"/>
      <c r="O26" s="379"/>
    </row>
    <row r="27" spans="3:20" ht="15" customHeight="1" x14ac:dyDescent="0.25">
      <c r="C27" s="379"/>
      <c r="D27" s="379"/>
      <c r="E27" s="379"/>
      <c r="F27" s="379"/>
      <c r="G27" s="379"/>
      <c r="H27" s="379"/>
      <c r="I27" s="379"/>
      <c r="J27" s="379"/>
      <c r="K27" s="379"/>
      <c r="L27" s="379"/>
      <c r="M27" s="379"/>
      <c r="N27" s="379"/>
      <c r="O27" s="379"/>
    </row>
    <row r="28" spans="3:20" ht="15" customHeight="1" x14ac:dyDescent="0.25">
      <c r="C28" s="379"/>
      <c r="D28" s="379"/>
      <c r="E28" s="379"/>
      <c r="F28" s="379"/>
      <c r="G28" s="379"/>
      <c r="H28" s="379"/>
      <c r="I28" s="379"/>
      <c r="J28" s="379"/>
      <c r="K28" s="379"/>
      <c r="L28" s="379"/>
      <c r="M28" s="379"/>
      <c r="N28" s="379"/>
      <c r="O28" s="379"/>
    </row>
    <row r="29" spans="3:20" ht="15" customHeight="1" x14ac:dyDescent="0.25">
      <c r="C29" s="379"/>
      <c r="D29" s="379"/>
      <c r="E29" s="379"/>
      <c r="F29" s="379"/>
      <c r="G29" s="379"/>
      <c r="H29" s="379"/>
      <c r="I29" s="379"/>
      <c r="J29" s="379"/>
      <c r="K29" s="379"/>
      <c r="L29" s="379"/>
      <c r="M29" s="379"/>
      <c r="N29" s="379"/>
      <c r="O29" s="379"/>
    </row>
    <row r="30" spans="3:20" ht="15" customHeight="1" x14ac:dyDescent="0.25">
      <c r="C30" s="379"/>
      <c r="D30" s="379"/>
      <c r="E30" s="379"/>
      <c r="F30" s="379"/>
      <c r="G30" s="379"/>
      <c r="H30" s="379"/>
      <c r="I30" s="379"/>
      <c r="J30" s="379"/>
      <c r="K30" s="379"/>
      <c r="L30" s="379"/>
      <c r="M30" s="379"/>
      <c r="N30" s="379"/>
      <c r="O30" s="379"/>
    </row>
    <row r="31" spans="3:20" ht="15" customHeight="1" x14ac:dyDescent="0.25">
      <c r="C31" s="379"/>
      <c r="D31" s="379"/>
      <c r="E31" s="379"/>
      <c r="F31" s="379"/>
      <c r="G31" s="379"/>
      <c r="H31" s="379"/>
      <c r="I31" s="379"/>
      <c r="J31" s="379"/>
      <c r="K31" s="379"/>
      <c r="L31" s="379"/>
      <c r="M31" s="379"/>
      <c r="N31" s="379"/>
      <c r="O31" s="379"/>
    </row>
    <row r="32" spans="3:20" ht="15" customHeight="1" x14ac:dyDescent="0.25">
      <c r="C32" s="379"/>
      <c r="D32" s="379"/>
      <c r="E32" s="379"/>
      <c r="F32" s="379"/>
      <c r="G32" s="379"/>
      <c r="H32" s="379"/>
      <c r="I32" s="379"/>
      <c r="J32" s="379"/>
      <c r="K32" s="379"/>
      <c r="L32" s="379"/>
      <c r="M32" s="379"/>
      <c r="N32" s="379"/>
      <c r="O32" s="379"/>
    </row>
    <row r="33" spans="3:15" ht="15" customHeight="1" x14ac:dyDescent="0.25">
      <c r="C33" s="379"/>
      <c r="D33" s="379"/>
      <c r="E33" s="379"/>
      <c r="F33" s="379"/>
      <c r="G33" s="379"/>
      <c r="H33" s="379"/>
      <c r="I33" s="379"/>
      <c r="J33" s="379"/>
      <c r="K33" s="379"/>
      <c r="L33" s="379"/>
      <c r="M33" s="379"/>
      <c r="N33" s="379"/>
      <c r="O33" s="379"/>
    </row>
    <row r="34" spans="3:15" ht="15" customHeight="1" x14ac:dyDescent="0.25">
      <c r="C34" s="379"/>
      <c r="D34" s="379"/>
      <c r="E34" s="379"/>
      <c r="F34" s="379"/>
      <c r="G34" s="379"/>
      <c r="H34" s="379"/>
      <c r="I34" s="379"/>
      <c r="J34" s="379"/>
      <c r="K34" s="379"/>
      <c r="L34" s="379"/>
      <c r="M34" s="379"/>
      <c r="N34" s="379"/>
      <c r="O34" s="379"/>
    </row>
    <row r="35" spans="3:15" ht="15" customHeight="1" x14ac:dyDescent="0.25">
      <c r="C35" s="379"/>
      <c r="D35" s="379"/>
      <c r="E35" s="379"/>
      <c r="F35" s="379"/>
      <c r="G35" s="379"/>
      <c r="H35" s="379"/>
      <c r="I35" s="379"/>
      <c r="J35" s="379"/>
      <c r="K35" s="379"/>
      <c r="L35" s="379"/>
      <c r="M35" s="379"/>
      <c r="N35" s="379"/>
      <c r="O35" s="379"/>
    </row>
    <row r="36" spans="3:15" ht="15" customHeight="1" x14ac:dyDescent="0.25">
      <c r="C36" s="379"/>
      <c r="D36" s="379"/>
      <c r="E36" s="379"/>
      <c r="F36" s="379"/>
      <c r="G36" s="379"/>
      <c r="H36" s="379"/>
      <c r="I36" s="379"/>
      <c r="J36" s="379"/>
      <c r="K36" s="379"/>
      <c r="L36" s="379"/>
      <c r="M36" s="379"/>
      <c r="N36" s="379"/>
      <c r="O36" s="379"/>
    </row>
    <row r="37" spans="3:15" ht="15" customHeight="1" x14ac:dyDescent="0.25">
      <c r="C37" s="379"/>
      <c r="D37" s="379"/>
      <c r="E37" s="379"/>
      <c r="F37" s="379"/>
      <c r="G37" s="379"/>
      <c r="H37" s="379"/>
      <c r="I37" s="379"/>
      <c r="J37" s="379"/>
      <c r="K37" s="379"/>
      <c r="L37" s="379"/>
      <c r="M37" s="379"/>
      <c r="N37" s="379"/>
      <c r="O37" s="379"/>
    </row>
    <row r="38" spans="3:15" ht="15" customHeight="1" x14ac:dyDescent="0.25">
      <c r="C38" s="379"/>
      <c r="D38" s="379"/>
      <c r="E38" s="379"/>
      <c r="F38" s="379"/>
      <c r="G38" s="379"/>
      <c r="H38" s="379"/>
      <c r="I38" s="379"/>
      <c r="J38" s="379"/>
      <c r="K38" s="379"/>
      <c r="L38" s="379"/>
      <c r="M38" s="379"/>
      <c r="N38" s="379"/>
      <c r="O38" s="379"/>
    </row>
    <row r="39" spans="3:15" ht="15" customHeight="1" x14ac:dyDescent="0.25">
      <c r="C39" s="379"/>
      <c r="D39" s="379"/>
      <c r="E39" s="379"/>
      <c r="F39" s="379"/>
      <c r="G39" s="379"/>
      <c r="H39" s="379"/>
      <c r="I39" s="379"/>
      <c r="J39" s="379"/>
      <c r="K39" s="379"/>
      <c r="L39" s="379"/>
      <c r="M39" s="379"/>
      <c r="N39" s="379"/>
      <c r="O39" s="379"/>
    </row>
    <row r="40" spans="3:15" ht="15" customHeight="1" x14ac:dyDescent="0.25">
      <c r="C40" s="379"/>
      <c r="D40" s="379"/>
      <c r="E40" s="379"/>
      <c r="F40" s="379"/>
      <c r="G40" s="379"/>
      <c r="H40" s="379"/>
      <c r="I40" s="379"/>
      <c r="J40" s="379"/>
      <c r="K40" s="379"/>
      <c r="L40" s="379"/>
      <c r="M40" s="379"/>
      <c r="N40" s="379"/>
      <c r="O40" s="379"/>
    </row>
    <row r="41" spans="3:15" ht="15" customHeight="1" x14ac:dyDescent="0.25">
      <c r="C41" s="379"/>
      <c r="D41" s="379"/>
      <c r="E41" s="379"/>
      <c r="F41" s="379"/>
      <c r="G41" s="379"/>
      <c r="H41" s="379"/>
      <c r="I41" s="379"/>
      <c r="J41" s="379"/>
      <c r="K41" s="379"/>
      <c r="L41" s="379"/>
      <c r="M41" s="379"/>
      <c r="N41" s="379"/>
      <c r="O41" s="379"/>
    </row>
    <row r="42" spans="3:15" ht="15" customHeight="1" x14ac:dyDescent="0.25">
      <c r="C42" s="379"/>
      <c r="D42" s="379"/>
      <c r="E42" s="379"/>
      <c r="F42" s="379"/>
      <c r="G42" s="379"/>
      <c r="H42" s="379"/>
      <c r="I42" s="379"/>
      <c r="J42" s="379"/>
      <c r="K42" s="379"/>
      <c r="L42" s="379"/>
      <c r="M42" s="379"/>
      <c r="N42" s="379"/>
      <c r="O42" s="379"/>
    </row>
    <row r="43" spans="3:15" ht="15" customHeight="1" x14ac:dyDescent="0.25">
      <c r="C43" s="379"/>
      <c r="D43" s="379"/>
      <c r="E43" s="379"/>
      <c r="F43" s="379"/>
      <c r="G43" s="379"/>
      <c r="H43" s="379"/>
      <c r="I43" s="379"/>
      <c r="J43" s="379"/>
      <c r="K43" s="379"/>
      <c r="L43" s="379"/>
      <c r="M43" s="379"/>
      <c r="N43" s="379"/>
      <c r="O43" s="379"/>
    </row>
    <row r="44" spans="3:15" ht="15" customHeight="1" x14ac:dyDescent="0.25">
      <c r="C44" s="379"/>
      <c r="D44" s="379"/>
      <c r="E44" s="379"/>
      <c r="F44" s="379"/>
      <c r="G44" s="379"/>
      <c r="H44" s="379"/>
      <c r="I44" s="379"/>
      <c r="J44" s="379"/>
      <c r="K44" s="379"/>
      <c r="L44" s="379"/>
      <c r="M44" s="379"/>
      <c r="N44" s="379"/>
      <c r="O44" s="379"/>
    </row>
    <row r="45" spans="3:15" ht="15" customHeight="1" x14ac:dyDescent="0.25">
      <c r="C45" s="379"/>
      <c r="D45" s="379"/>
      <c r="E45" s="379"/>
      <c r="F45" s="379"/>
      <c r="G45" s="379"/>
      <c r="H45" s="379"/>
      <c r="I45" s="379"/>
      <c r="J45" s="379"/>
      <c r="K45" s="379"/>
      <c r="L45" s="379"/>
      <c r="M45" s="379"/>
      <c r="N45" s="379"/>
      <c r="O45" s="379"/>
    </row>
    <row r="46" spans="3:15" ht="15" customHeight="1" x14ac:dyDescent="0.25">
      <c r="C46" s="379"/>
      <c r="D46" s="379"/>
      <c r="E46" s="379"/>
      <c r="F46" s="379"/>
      <c r="G46" s="379"/>
      <c r="H46" s="379"/>
      <c r="I46" s="379"/>
      <c r="J46" s="379"/>
      <c r="K46" s="379"/>
      <c r="L46" s="379"/>
      <c r="M46" s="379"/>
      <c r="N46" s="379"/>
      <c r="O46" s="379"/>
    </row>
    <row r="47" spans="3:15" ht="15" customHeight="1" x14ac:dyDescent="0.25">
      <c r="C47" s="379"/>
      <c r="D47" s="379"/>
      <c r="E47" s="379"/>
      <c r="F47" s="379"/>
      <c r="G47" s="379"/>
      <c r="H47" s="379"/>
      <c r="I47" s="379"/>
      <c r="J47" s="379"/>
      <c r="K47" s="379"/>
      <c r="L47" s="379"/>
      <c r="M47" s="379"/>
      <c r="N47" s="379"/>
      <c r="O47" s="379"/>
    </row>
    <row r="48" spans="3:15" x14ac:dyDescent="0.25">
      <c r="C48" s="308"/>
      <c r="D48" s="308"/>
      <c r="E48" s="308"/>
      <c r="F48" s="308"/>
      <c r="G48" s="308"/>
      <c r="H48" s="308"/>
      <c r="I48" s="308"/>
      <c r="J48" s="308"/>
      <c r="K48" s="308"/>
      <c r="L48" s="308"/>
      <c r="M48" s="308"/>
      <c r="N48" s="308"/>
      <c r="O48" s="308"/>
    </row>
    <row r="49" spans="3:15" x14ac:dyDescent="0.25">
      <c r="C49" s="308"/>
      <c r="D49" s="308"/>
      <c r="E49" s="308"/>
      <c r="F49" s="308"/>
      <c r="G49" s="308"/>
      <c r="H49" s="308"/>
      <c r="I49" s="308"/>
      <c r="J49" s="308"/>
      <c r="K49" s="308"/>
      <c r="L49" s="308"/>
      <c r="M49" s="308"/>
      <c r="N49" s="308"/>
      <c r="O49" s="308"/>
    </row>
    <row r="50" spans="3:15" x14ac:dyDescent="0.25">
      <c r="C50" s="308"/>
      <c r="D50" s="308"/>
      <c r="E50" s="308"/>
      <c r="F50" s="308"/>
      <c r="G50" s="308"/>
      <c r="H50" s="308"/>
      <c r="I50" s="308"/>
      <c r="J50" s="308"/>
      <c r="K50" s="308"/>
      <c r="L50" s="308"/>
      <c r="M50" s="308"/>
      <c r="N50" s="308"/>
      <c r="O50" s="308"/>
    </row>
    <row r="51" spans="3:15" x14ac:dyDescent="0.25">
      <c r="C51" s="308"/>
      <c r="D51" s="308"/>
      <c r="E51" s="308"/>
      <c r="F51" s="308"/>
      <c r="G51" s="308"/>
      <c r="H51" s="308"/>
      <c r="I51" s="308"/>
      <c r="J51" s="308"/>
      <c r="K51" s="308"/>
      <c r="L51" s="308"/>
      <c r="M51" s="308"/>
      <c r="N51" s="308"/>
      <c r="O51" s="308"/>
    </row>
    <row r="52" spans="3:15" x14ac:dyDescent="0.25">
      <c r="C52" s="308"/>
      <c r="D52" s="308"/>
      <c r="E52" s="308"/>
      <c r="F52" s="308"/>
      <c r="G52" s="308"/>
      <c r="H52" s="308"/>
      <c r="I52" s="308"/>
      <c r="J52" s="308"/>
      <c r="K52" s="308"/>
      <c r="L52" s="308"/>
      <c r="M52" s="308"/>
      <c r="N52" s="308"/>
      <c r="O52" s="308"/>
    </row>
    <row r="53" spans="3:15" x14ac:dyDescent="0.25">
      <c r="C53" s="308"/>
      <c r="D53" s="308"/>
      <c r="E53" s="308"/>
      <c r="F53" s="308"/>
      <c r="G53" s="308"/>
      <c r="H53" s="308"/>
      <c r="I53" s="308"/>
      <c r="J53" s="308"/>
      <c r="K53" s="308"/>
      <c r="L53" s="308"/>
      <c r="M53" s="308"/>
      <c r="N53" s="308"/>
      <c r="O53" s="308"/>
    </row>
    <row r="54" spans="3:15" x14ac:dyDescent="0.25">
      <c r="C54" s="308"/>
      <c r="D54" s="308"/>
      <c r="E54" s="308"/>
      <c r="F54" s="308"/>
      <c r="G54" s="308"/>
      <c r="H54" s="308"/>
      <c r="I54" s="308"/>
      <c r="J54" s="308"/>
      <c r="K54" s="308"/>
      <c r="L54" s="308"/>
      <c r="M54" s="308"/>
      <c r="N54" s="308"/>
      <c r="O54" s="308"/>
    </row>
    <row r="55" spans="3:15" x14ac:dyDescent="0.25">
      <c r="C55" s="308"/>
      <c r="D55" s="308"/>
      <c r="E55" s="308"/>
      <c r="F55" s="308"/>
      <c r="G55" s="308"/>
      <c r="H55" s="308"/>
      <c r="I55" s="308"/>
      <c r="J55" s="308"/>
      <c r="K55" s="308"/>
      <c r="L55" s="308"/>
      <c r="M55" s="308"/>
      <c r="N55" s="308"/>
      <c r="O55" s="308"/>
    </row>
    <row r="56" spans="3:15" x14ac:dyDescent="0.25">
      <c r="C56" s="308"/>
      <c r="D56" s="308"/>
      <c r="E56" s="308"/>
      <c r="F56" s="308"/>
      <c r="G56" s="308"/>
      <c r="H56" s="308"/>
      <c r="I56" s="308"/>
      <c r="J56" s="308"/>
      <c r="K56" s="308"/>
      <c r="L56" s="308"/>
      <c r="M56" s="308"/>
      <c r="N56" s="308"/>
      <c r="O56" s="308"/>
    </row>
    <row r="57" spans="3:15" x14ac:dyDescent="0.25">
      <c r="C57" s="308"/>
      <c r="D57" s="308"/>
      <c r="E57" s="308"/>
      <c r="F57" s="308"/>
      <c r="G57" s="308"/>
      <c r="H57" s="308"/>
      <c r="I57" s="308"/>
      <c r="J57" s="308"/>
      <c r="K57" s="308"/>
      <c r="L57" s="308"/>
      <c r="M57" s="308"/>
      <c r="N57" s="308"/>
      <c r="O57" s="308"/>
    </row>
    <row r="58" spans="3:15" x14ac:dyDescent="0.25">
      <c r="C58" s="308"/>
      <c r="D58" s="308"/>
      <c r="E58" s="308"/>
      <c r="F58" s="308"/>
      <c r="G58" s="308"/>
      <c r="H58" s="308"/>
      <c r="I58" s="308"/>
      <c r="J58" s="308"/>
      <c r="K58" s="308"/>
      <c r="L58" s="308"/>
      <c r="M58" s="308"/>
      <c r="N58" s="308"/>
      <c r="O58" s="308"/>
    </row>
    <row r="59" spans="3:15" x14ac:dyDescent="0.25">
      <c r="C59" s="308"/>
      <c r="D59" s="308"/>
      <c r="E59" s="308"/>
      <c r="F59" s="308"/>
      <c r="G59" s="308"/>
      <c r="H59" s="308"/>
      <c r="I59" s="308"/>
      <c r="J59" s="308"/>
      <c r="K59" s="308"/>
      <c r="L59" s="308"/>
      <c r="M59" s="308"/>
      <c r="N59" s="308"/>
      <c r="O59" s="308"/>
    </row>
  </sheetData>
  <sheetProtection algorithmName="SHA-512" hashValue="NnBHttMode4iYAKzwNLvv2J8FbXKSgSH6BVkWJ1gpz2ATCIFUnRRsczVc89ZHSoVgTFwrfX1gJL3HDcVlfK/Qg==" saltValue="1dMr4XeJW5dG6YEhn5cjeg==" spinCount="100000" sheet="1" objects="1" scenarios="1" selectLockedCells="1" selectUnlockedCells="1"/>
  <mergeCells count="2">
    <mergeCell ref="C4:O11"/>
    <mergeCell ref="C12:O47"/>
  </mergeCells>
  <phoneticPr fontId="108" type="noConversion"/>
  <printOptions horizontalCentered="1"/>
  <pageMargins left="0.25" right="0.25" top="0.75" bottom="0.75" header="0.3" footer="0.3"/>
  <pageSetup scale="7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C3BB8-29E0-46C0-BE50-AC938E4FF743}">
  <sheetPr codeName="Sheet11">
    <tabColor theme="3" tint="0.749992370372631"/>
  </sheetPr>
  <dimension ref="B1:X57"/>
  <sheetViews>
    <sheetView showGridLines="0" zoomScaleNormal="100" workbookViewId="0">
      <selection activeCell="E12" sqref="E12:H12"/>
    </sheetView>
  </sheetViews>
  <sheetFormatPr defaultColWidth="9.140625" defaultRowHeight="15" x14ac:dyDescent="0.25"/>
  <cols>
    <col min="1" max="1" width="61.140625" style="3" customWidth="1"/>
    <col min="2" max="2" width="4" style="3" customWidth="1"/>
    <col min="3" max="3" width="7.7109375" style="3" customWidth="1"/>
    <col min="4" max="4" width="8" style="3" customWidth="1"/>
    <col min="5" max="5" width="9.28515625" style="3" customWidth="1"/>
    <col min="6" max="6" width="1" style="3" customWidth="1"/>
    <col min="7" max="7" width="15.7109375" style="3" customWidth="1"/>
    <col min="8" max="8" width="21.7109375" style="3" customWidth="1"/>
    <col min="9" max="9" width="3" style="3" customWidth="1"/>
    <col min="10" max="10" width="2.7109375" style="3" customWidth="1"/>
    <col min="11" max="11" width="0.7109375" style="3" customWidth="1"/>
    <col min="12" max="12" width="10.85546875" style="3" customWidth="1"/>
    <col min="13" max="13" width="2.7109375" style="3" customWidth="1"/>
    <col min="14" max="14" width="12.5703125" style="3" customWidth="1"/>
    <col min="15" max="15" width="1" style="3" customWidth="1"/>
    <col min="16" max="16" width="9.42578125" style="3" customWidth="1"/>
    <col min="17" max="18" width="5.7109375" style="3" customWidth="1"/>
    <col min="19" max="19" width="4" style="3" customWidth="1"/>
    <col min="20" max="16384" width="9.140625" style="3"/>
  </cols>
  <sheetData>
    <row r="1" spans="2:19" ht="23.45" customHeight="1" x14ac:dyDescent="0.25"/>
    <row r="2" spans="2:19" s="6" customFormat="1" ht="9" customHeight="1" x14ac:dyDescent="0.25">
      <c r="B2" s="17"/>
      <c r="C2" s="17"/>
      <c r="D2" s="17"/>
      <c r="E2" s="17"/>
      <c r="F2" s="17"/>
      <c r="G2" s="17"/>
      <c r="H2" s="17"/>
      <c r="I2" s="17"/>
      <c r="J2" s="17"/>
      <c r="K2" s="17"/>
      <c r="L2" s="17"/>
      <c r="M2" s="17"/>
      <c r="N2" s="17"/>
      <c r="O2" s="17"/>
      <c r="P2" s="17"/>
      <c r="Q2" s="17"/>
      <c r="R2" s="17"/>
      <c r="S2" s="17"/>
    </row>
    <row r="3" spans="2:19" s="6" customFormat="1" ht="15.75" x14ac:dyDescent="0.25">
      <c r="B3" s="17"/>
      <c r="C3" s="761" t="s">
        <v>308</v>
      </c>
      <c r="D3" s="761"/>
      <c r="E3" s="761"/>
      <c r="F3" s="17"/>
      <c r="G3" s="505"/>
      <c r="H3" s="505"/>
      <c r="I3" s="505"/>
      <c r="J3" s="505"/>
      <c r="K3" s="505"/>
      <c r="L3" s="505"/>
      <c r="M3" s="505"/>
      <c r="N3" s="505"/>
      <c r="O3" s="17"/>
      <c r="P3" s="427"/>
      <c r="Q3" s="427"/>
      <c r="R3" s="427"/>
      <c r="S3" s="17"/>
    </row>
    <row r="4" spans="2:19" s="6" customFormat="1" ht="27.6" customHeight="1" x14ac:dyDescent="0.25">
      <c r="B4" s="17"/>
      <c r="C4" s="410"/>
      <c r="D4" s="410"/>
      <c r="E4" s="411"/>
      <c r="F4" s="17"/>
      <c r="G4" s="562" t="s">
        <v>0</v>
      </c>
      <c r="H4" s="562"/>
      <c r="I4" s="562"/>
      <c r="J4" s="562"/>
      <c r="K4" s="562"/>
      <c r="L4" s="562"/>
      <c r="M4" s="562"/>
      <c r="N4" s="562"/>
      <c r="O4" s="21"/>
      <c r="P4" s="413" t="s">
        <v>1240</v>
      </c>
      <c r="Q4" s="414"/>
      <c r="R4" s="414"/>
      <c r="S4" s="17"/>
    </row>
    <row r="5" spans="2:19" s="6" customFormat="1" ht="18.75" x14ac:dyDescent="0.4">
      <c r="B5" s="17"/>
      <c r="C5" s="410"/>
      <c r="D5" s="410"/>
      <c r="E5" s="411"/>
      <c r="F5" s="17"/>
      <c r="G5" s="511" t="s">
        <v>322</v>
      </c>
      <c r="H5" s="511"/>
      <c r="I5" s="511"/>
      <c r="J5" s="511"/>
      <c r="K5" s="511"/>
      <c r="L5" s="511"/>
      <c r="M5" s="511"/>
      <c r="N5" s="511"/>
      <c r="O5" s="22"/>
      <c r="P5" s="416">
        <v>2024</v>
      </c>
      <c r="Q5" s="417"/>
      <c r="R5" s="417"/>
      <c r="S5" s="17"/>
    </row>
    <row r="6" spans="2:19" s="6" customFormat="1" ht="18" customHeight="1" x14ac:dyDescent="0.25">
      <c r="B6" s="17"/>
      <c r="C6" s="410"/>
      <c r="D6" s="410"/>
      <c r="E6" s="411"/>
      <c r="F6" s="17"/>
      <c r="G6" s="762" t="s">
        <v>1244</v>
      </c>
      <c r="H6" s="762"/>
      <c r="I6" s="762"/>
      <c r="J6" s="762"/>
      <c r="K6" s="762"/>
      <c r="L6" s="762"/>
      <c r="M6" s="762"/>
      <c r="N6" s="762"/>
      <c r="O6" s="23"/>
      <c r="P6" s="418"/>
      <c r="Q6" s="419"/>
      <c r="R6" s="419"/>
      <c r="S6" s="17"/>
    </row>
    <row r="7" spans="2:19" s="6" customFormat="1" ht="14.45" customHeight="1" thickBot="1" x14ac:dyDescent="0.3">
      <c r="B7" s="17"/>
      <c r="C7" s="24"/>
      <c r="D7" s="25"/>
      <c r="E7" s="26"/>
      <c r="F7" s="25"/>
      <c r="G7" s="525"/>
      <c r="H7" s="525"/>
      <c r="I7" s="525"/>
      <c r="J7" s="525"/>
      <c r="K7" s="525"/>
      <c r="L7" s="525"/>
      <c r="M7" s="525"/>
      <c r="N7" s="525"/>
      <c r="O7" s="27"/>
      <c r="P7" s="423" t="s">
        <v>1</v>
      </c>
      <c r="Q7" s="424"/>
      <c r="R7" s="424"/>
      <c r="S7" s="17"/>
    </row>
    <row r="8" spans="2:19" s="6" customFormat="1" ht="7.5" customHeight="1" x14ac:dyDescent="0.25">
      <c r="B8" s="17"/>
      <c r="C8" s="17"/>
      <c r="D8" s="17"/>
      <c r="E8" s="17"/>
      <c r="F8" s="17"/>
      <c r="G8" s="17"/>
      <c r="H8" s="17"/>
      <c r="I8" s="17"/>
      <c r="J8" s="17"/>
      <c r="K8" s="17"/>
      <c r="L8" s="17"/>
      <c r="M8" s="17"/>
      <c r="N8" s="17"/>
      <c r="O8" s="17"/>
      <c r="P8" s="17"/>
      <c r="Q8" s="17"/>
      <c r="R8" s="17"/>
      <c r="S8" s="17"/>
    </row>
    <row r="9" spans="2:19" s="6" customFormat="1" ht="5.25" customHeight="1" thickBot="1" x14ac:dyDescent="0.3">
      <c r="B9" s="17"/>
      <c r="C9" s="33"/>
      <c r="D9" s="33"/>
      <c r="E9" s="33"/>
      <c r="F9" s="33"/>
      <c r="G9" s="33"/>
      <c r="H9" s="33"/>
      <c r="I9" s="33"/>
      <c r="J9" s="33"/>
      <c r="K9" s="33"/>
      <c r="L9" s="25"/>
      <c r="M9" s="28"/>
      <c r="N9" s="25"/>
      <c r="O9" s="25"/>
      <c r="P9" s="25"/>
      <c r="Q9" s="25"/>
      <c r="R9" s="25"/>
      <c r="S9" s="17"/>
    </row>
    <row r="10" spans="2:19" s="6" customFormat="1" ht="30" customHeight="1" x14ac:dyDescent="0.25">
      <c r="B10" s="17"/>
      <c r="C10" s="406" t="s">
        <v>368</v>
      </c>
      <c r="D10" s="406"/>
      <c r="E10" s="406"/>
      <c r="F10" s="406"/>
      <c r="G10" s="406"/>
      <c r="H10" s="406"/>
      <c r="I10" s="406"/>
      <c r="J10" s="406"/>
      <c r="K10" s="406"/>
      <c r="L10" s="406"/>
      <c r="M10" s="406"/>
      <c r="N10" s="406"/>
      <c r="O10" s="406"/>
      <c r="P10" s="406"/>
      <c r="Q10" s="406"/>
      <c r="R10" s="406"/>
      <c r="S10" s="17"/>
    </row>
    <row r="11" spans="2:19" s="6" customFormat="1" ht="5.45" customHeight="1" x14ac:dyDescent="0.25">
      <c r="B11" s="17"/>
      <c r="C11" s="29"/>
      <c r="D11" s="29"/>
      <c r="E11" s="20"/>
      <c r="F11" s="20"/>
      <c r="G11" s="20"/>
      <c r="H11" s="20"/>
      <c r="I11" s="20"/>
      <c r="J11" s="20"/>
      <c r="K11" s="20"/>
      <c r="L11" s="17"/>
      <c r="M11" s="20"/>
      <c r="N11" s="17"/>
      <c r="O11" s="17"/>
      <c r="P11" s="17"/>
      <c r="Q11" s="17"/>
      <c r="R11" s="17"/>
      <c r="S11" s="17"/>
    </row>
    <row r="12" spans="2:19" s="6" customFormat="1" ht="24" customHeight="1" x14ac:dyDescent="0.25">
      <c r="B12" s="17"/>
      <c r="C12" s="430" t="s">
        <v>2</v>
      </c>
      <c r="D12" s="431"/>
      <c r="E12" s="516"/>
      <c r="F12" s="566"/>
      <c r="G12" s="566"/>
      <c r="H12" s="517"/>
      <c r="I12" s="17"/>
      <c r="J12" s="17"/>
      <c r="K12" s="17"/>
      <c r="L12" s="17"/>
      <c r="M12" s="17"/>
      <c r="N12" s="32" t="s">
        <v>3</v>
      </c>
      <c r="O12" s="29"/>
      <c r="P12" s="20" t="s">
        <v>4</v>
      </c>
      <c r="Q12" s="516"/>
      <c r="R12" s="517"/>
      <c r="S12" s="17"/>
    </row>
    <row r="13" spans="2:19" s="6" customFormat="1" ht="5.25" customHeight="1" x14ac:dyDescent="0.25">
      <c r="B13" s="17"/>
      <c r="C13" s="29"/>
      <c r="D13" s="29"/>
      <c r="E13" s="29"/>
      <c r="F13" s="29"/>
      <c r="G13" s="29"/>
      <c r="H13" s="29"/>
      <c r="I13" s="29"/>
      <c r="J13" s="29"/>
      <c r="K13" s="29"/>
      <c r="L13" s="17"/>
      <c r="M13" s="20"/>
      <c r="N13" s="17"/>
      <c r="O13" s="17"/>
      <c r="P13" s="17"/>
      <c r="Q13" s="17"/>
      <c r="R13" s="17"/>
      <c r="S13" s="17"/>
    </row>
    <row r="14" spans="2:19" s="6" customFormat="1" ht="24" customHeight="1" x14ac:dyDescent="0.25">
      <c r="B14" s="17"/>
      <c r="C14" s="756" t="s">
        <v>107</v>
      </c>
      <c r="D14" s="756"/>
      <c r="E14" s="502"/>
      <c r="F14" s="503"/>
      <c r="G14" s="503"/>
      <c r="H14" s="503"/>
      <c r="I14" s="503"/>
      <c r="J14" s="504"/>
      <c r="K14" s="104"/>
      <c r="L14" s="509" t="s">
        <v>108</v>
      </c>
      <c r="M14" s="510"/>
      <c r="N14" s="314"/>
      <c r="O14" s="106"/>
      <c r="P14" s="98" t="s">
        <v>109</v>
      </c>
      <c r="Q14" s="502"/>
      <c r="R14" s="504"/>
      <c r="S14" s="17"/>
    </row>
    <row r="15" spans="2:19" s="6" customFormat="1" ht="8.4499999999999993" customHeight="1" x14ac:dyDescent="0.25">
      <c r="B15" s="17"/>
      <c r="C15" s="97"/>
      <c r="D15" s="97"/>
      <c r="E15" s="97"/>
      <c r="F15" s="97"/>
      <c r="G15" s="103"/>
      <c r="H15" s="102"/>
      <c r="I15" s="102"/>
      <c r="J15" s="102"/>
      <c r="K15" s="102"/>
      <c r="L15" s="102"/>
      <c r="M15" s="102"/>
      <c r="N15" s="101"/>
      <c r="O15" s="102"/>
      <c r="P15" s="102"/>
      <c r="Q15" s="101"/>
      <c r="R15" s="101"/>
      <c r="S15" s="17"/>
    </row>
    <row r="16" spans="2:19" s="6" customFormat="1" ht="24" customHeight="1" x14ac:dyDescent="0.25">
      <c r="B16" s="17"/>
      <c r="C16" s="498" t="s">
        <v>111</v>
      </c>
      <c r="D16" s="498"/>
      <c r="E16" s="502"/>
      <c r="F16" s="503"/>
      <c r="G16" s="503"/>
      <c r="H16" s="503"/>
      <c r="I16" s="503"/>
      <c r="J16" s="504"/>
      <c r="K16" s="106"/>
      <c r="L16" s="264" t="s">
        <v>53</v>
      </c>
      <c r="M16" s="99"/>
      <c r="N16" s="502"/>
      <c r="O16" s="503"/>
      <c r="P16" s="503"/>
      <c r="Q16" s="503"/>
      <c r="R16" s="504"/>
      <c r="S16" s="17"/>
    </row>
    <row r="17" spans="2:19" s="6" customFormat="1" ht="10.9" customHeight="1" thickBot="1" x14ac:dyDescent="0.3">
      <c r="B17" s="17"/>
      <c r="C17" s="17"/>
      <c r="D17" s="17"/>
      <c r="E17" s="17"/>
      <c r="F17" s="17"/>
      <c r="G17" s="17"/>
      <c r="H17" s="17"/>
      <c r="I17" s="17"/>
      <c r="J17" s="17"/>
      <c r="K17" s="17"/>
      <c r="L17" s="17"/>
      <c r="M17" s="17"/>
      <c r="N17" s="17"/>
      <c r="O17" s="17"/>
      <c r="P17" s="17"/>
      <c r="Q17" s="17"/>
      <c r="R17" s="17"/>
      <c r="S17" s="17"/>
    </row>
    <row r="18" spans="2:19" s="6" customFormat="1" ht="47.25" customHeight="1" x14ac:dyDescent="0.25">
      <c r="B18" s="17"/>
      <c r="C18" s="760" t="s">
        <v>326</v>
      </c>
      <c r="D18" s="760"/>
      <c r="E18" s="760"/>
      <c r="F18" s="760"/>
      <c r="G18" s="760"/>
      <c r="H18" s="760"/>
      <c r="I18" s="760"/>
      <c r="J18" s="760"/>
      <c r="K18" s="760"/>
      <c r="L18" s="760"/>
      <c r="M18" s="760"/>
      <c r="N18" s="760"/>
      <c r="O18" s="760"/>
      <c r="P18" s="760"/>
      <c r="Q18" s="760"/>
      <c r="R18" s="760"/>
      <c r="S18" s="17"/>
    </row>
    <row r="19" spans="2:19" s="6" customFormat="1" ht="5.25" customHeight="1" thickBot="1" x14ac:dyDescent="0.3">
      <c r="B19" s="17"/>
      <c r="C19" s="17"/>
      <c r="D19" s="17"/>
      <c r="E19" s="17"/>
      <c r="F19" s="17"/>
      <c r="G19" s="17"/>
      <c r="H19" s="17"/>
      <c r="I19" s="17"/>
      <c r="J19" s="17"/>
      <c r="K19" s="17"/>
      <c r="L19" s="17"/>
      <c r="M19" s="17"/>
      <c r="N19" s="17"/>
      <c r="O19" s="17"/>
      <c r="P19" s="17"/>
      <c r="Q19" s="17"/>
      <c r="R19" s="17"/>
      <c r="S19" s="17"/>
    </row>
    <row r="20" spans="2:19" s="6" customFormat="1" ht="3.6" customHeight="1" thickBot="1" x14ac:dyDescent="0.3">
      <c r="B20" s="17"/>
      <c r="C20" s="42"/>
      <c r="D20" s="42"/>
      <c r="E20" s="42"/>
      <c r="F20" s="42"/>
      <c r="G20" s="42"/>
      <c r="H20" s="42"/>
      <c r="I20" s="42"/>
      <c r="J20" s="42"/>
      <c r="K20" s="42"/>
      <c r="L20" s="42"/>
      <c r="M20" s="42"/>
      <c r="N20" s="42"/>
      <c r="O20" s="42"/>
      <c r="P20" s="42"/>
      <c r="Q20" s="42"/>
      <c r="R20" s="42"/>
      <c r="S20" s="17"/>
    </row>
    <row r="21" spans="2:19" s="6" customFormat="1" ht="20.45" customHeight="1" thickBot="1" x14ac:dyDescent="0.3">
      <c r="B21" s="17"/>
      <c r="C21" s="506" t="s">
        <v>321</v>
      </c>
      <c r="D21" s="507"/>
      <c r="E21" s="507"/>
      <c r="F21" s="507"/>
      <c r="G21" s="507"/>
      <c r="H21" s="507"/>
      <c r="I21" s="507"/>
      <c r="J21" s="507"/>
      <c r="K21" s="507"/>
      <c r="L21" s="507"/>
      <c r="M21" s="507"/>
      <c r="N21" s="507"/>
      <c r="O21" s="507"/>
      <c r="P21" s="507"/>
      <c r="Q21" s="507"/>
      <c r="R21" s="508"/>
      <c r="S21" s="17"/>
    </row>
    <row r="22" spans="2:19" s="6" customFormat="1" ht="7.15" customHeight="1" x14ac:dyDescent="0.25">
      <c r="B22" s="17"/>
      <c r="C22" s="42"/>
      <c r="D22" s="42"/>
      <c r="E22" s="42"/>
      <c r="F22" s="42"/>
      <c r="G22" s="42"/>
      <c r="H22" s="42"/>
      <c r="I22" s="42"/>
      <c r="J22" s="42"/>
      <c r="K22" s="42"/>
      <c r="L22" s="42"/>
      <c r="M22" s="42"/>
      <c r="N22" s="42"/>
      <c r="O22" s="42"/>
      <c r="P22" s="42"/>
      <c r="Q22" s="42"/>
      <c r="R22" s="42"/>
      <c r="S22" s="17"/>
    </row>
    <row r="23" spans="2:19" s="6" customFormat="1" ht="24" customHeight="1" x14ac:dyDescent="0.25">
      <c r="B23" s="17"/>
      <c r="C23" s="244">
        <v>1</v>
      </c>
      <c r="D23" s="759" t="s">
        <v>309</v>
      </c>
      <c r="E23" s="759"/>
      <c r="F23" s="264"/>
      <c r="G23" s="322"/>
      <c r="H23" s="284"/>
      <c r="I23" s="69"/>
      <c r="J23" s="69"/>
      <c r="K23" s="69"/>
      <c r="L23" s="69"/>
      <c r="M23" s="99"/>
      <c r="N23" s="97"/>
      <c r="O23" s="97"/>
      <c r="P23" s="97"/>
      <c r="Q23" s="97"/>
      <c r="R23" s="97"/>
      <c r="S23" s="97"/>
    </row>
    <row r="24" spans="2:19" s="6" customFormat="1" ht="8.4499999999999993" customHeight="1" x14ac:dyDescent="0.25">
      <c r="B24" s="17"/>
      <c r="C24" s="97"/>
      <c r="D24" s="97"/>
      <c r="E24" s="97"/>
      <c r="F24" s="97"/>
      <c r="G24" s="101"/>
      <c r="H24" s="102"/>
      <c r="I24" s="102"/>
      <c r="J24" s="102"/>
      <c r="K24" s="102"/>
      <c r="L24" s="102"/>
      <c r="M24" s="102"/>
      <c r="N24" s="102"/>
      <c r="O24" s="102"/>
      <c r="P24" s="102"/>
      <c r="Q24" s="102"/>
      <c r="R24" s="102"/>
      <c r="S24" s="17"/>
    </row>
    <row r="25" spans="2:19" s="13" customFormat="1" ht="15.75" customHeight="1" x14ac:dyDescent="0.25">
      <c r="B25" s="34"/>
      <c r="C25" s="77">
        <v>2</v>
      </c>
      <c r="D25" s="399" t="s">
        <v>318</v>
      </c>
      <c r="E25" s="399"/>
      <c r="F25" s="399"/>
      <c r="G25" s="399"/>
      <c r="H25" s="399"/>
      <c r="I25" s="399"/>
      <c r="J25" s="399"/>
      <c r="K25" s="399"/>
      <c r="L25" s="399"/>
      <c r="M25" s="399"/>
      <c r="N25" s="399"/>
      <c r="O25" s="399"/>
      <c r="P25" s="399"/>
      <c r="Q25" s="38"/>
      <c r="R25" s="41"/>
      <c r="S25" s="34"/>
    </row>
    <row r="26" spans="2:19" s="13" customFormat="1" ht="6.75" customHeight="1" x14ac:dyDescent="0.25">
      <c r="B26" s="34"/>
      <c r="C26" s="77"/>
      <c r="D26" s="111"/>
      <c r="E26" s="111"/>
      <c r="F26" s="111"/>
      <c r="G26" s="111"/>
      <c r="H26" s="111"/>
      <c r="I26" s="111"/>
      <c r="J26" s="111"/>
      <c r="K26" s="111"/>
      <c r="L26" s="111"/>
      <c r="M26" s="111"/>
      <c r="N26" s="111"/>
      <c r="O26" s="111"/>
      <c r="P26" s="111"/>
      <c r="Q26" s="38"/>
      <c r="R26" s="41"/>
      <c r="S26" s="34"/>
    </row>
    <row r="27" spans="2:19" s="13" customFormat="1" ht="62.25" customHeight="1" x14ac:dyDescent="0.25">
      <c r="B27" s="34"/>
      <c r="C27" s="717"/>
      <c r="D27" s="718"/>
      <c r="E27" s="718"/>
      <c r="F27" s="718"/>
      <c r="G27" s="718"/>
      <c r="H27" s="718"/>
      <c r="I27" s="718"/>
      <c r="J27" s="718"/>
      <c r="K27" s="718"/>
      <c r="L27" s="718"/>
      <c r="M27" s="718"/>
      <c r="N27" s="718"/>
      <c r="O27" s="718"/>
      <c r="P27" s="718"/>
      <c r="Q27" s="718"/>
      <c r="R27" s="719"/>
      <c r="S27" s="34"/>
    </row>
    <row r="28" spans="2:19" s="13" customFormat="1" ht="6.75" customHeight="1" x14ac:dyDescent="0.25">
      <c r="B28" s="34"/>
      <c r="C28" s="77"/>
      <c r="D28" s="111"/>
      <c r="E28" s="111"/>
      <c r="F28" s="111"/>
      <c r="G28" s="111"/>
      <c r="H28" s="111"/>
      <c r="I28" s="111"/>
      <c r="J28" s="111"/>
      <c r="K28" s="111"/>
      <c r="L28" s="111"/>
      <c r="M28" s="111"/>
      <c r="N28" s="111"/>
      <c r="O28" s="111"/>
      <c r="P28" s="111"/>
      <c r="Q28" s="38"/>
      <c r="R28" s="41"/>
      <c r="S28" s="34"/>
    </row>
    <row r="29" spans="2:19" s="13" customFormat="1" ht="17.25" customHeight="1" x14ac:dyDescent="0.25">
      <c r="B29" s="34"/>
      <c r="C29" s="77">
        <v>3</v>
      </c>
      <c r="D29" s="399" t="s">
        <v>317</v>
      </c>
      <c r="E29" s="399"/>
      <c r="F29" s="399"/>
      <c r="G29" s="399"/>
      <c r="H29" s="399"/>
      <c r="I29" s="399"/>
      <c r="J29" s="399"/>
      <c r="K29" s="399"/>
      <c r="L29" s="399"/>
      <c r="M29" s="399"/>
      <c r="N29" s="399"/>
      <c r="O29" s="399"/>
      <c r="P29" s="399"/>
      <c r="Q29" s="38"/>
      <c r="R29" s="41"/>
      <c r="S29" s="34"/>
    </row>
    <row r="30" spans="2:19" s="13" customFormat="1" ht="4.5" customHeight="1" x14ac:dyDescent="0.25">
      <c r="B30" s="34"/>
      <c r="C30" s="77"/>
      <c r="D30" s="38"/>
      <c r="E30" s="38"/>
      <c r="F30" s="38"/>
      <c r="G30" s="38"/>
      <c r="H30" s="38"/>
      <c r="I30" s="38"/>
      <c r="J30" s="38"/>
      <c r="K30" s="38"/>
      <c r="L30" s="38"/>
      <c r="M30" s="38"/>
      <c r="N30" s="38"/>
      <c r="O30" s="38"/>
      <c r="P30" s="38"/>
      <c r="Q30" s="38"/>
      <c r="R30" s="41"/>
      <c r="S30" s="34"/>
    </row>
    <row r="31" spans="2:19" s="13" customFormat="1" ht="59.25" customHeight="1" x14ac:dyDescent="0.25">
      <c r="B31" s="34"/>
      <c r="C31" s="717"/>
      <c r="D31" s="718"/>
      <c r="E31" s="718"/>
      <c r="F31" s="718"/>
      <c r="G31" s="718"/>
      <c r="H31" s="718"/>
      <c r="I31" s="718"/>
      <c r="J31" s="718"/>
      <c r="K31" s="718"/>
      <c r="L31" s="718"/>
      <c r="M31" s="718"/>
      <c r="N31" s="718"/>
      <c r="O31" s="718"/>
      <c r="P31" s="718"/>
      <c r="Q31" s="718"/>
      <c r="R31" s="719"/>
      <c r="S31" s="34"/>
    </row>
    <row r="32" spans="2:19" s="6" customFormat="1" ht="7.9" customHeight="1" thickBot="1" x14ac:dyDescent="0.3">
      <c r="B32" s="17"/>
      <c r="C32" s="108"/>
      <c r="D32" s="108"/>
      <c r="E32" s="108"/>
      <c r="F32" s="108"/>
      <c r="G32" s="108"/>
      <c r="H32" s="108"/>
      <c r="I32" s="108"/>
      <c r="J32" s="108"/>
      <c r="K32" s="102"/>
      <c r="L32" s="102"/>
      <c r="M32" s="102"/>
      <c r="N32" s="102"/>
      <c r="O32" s="102"/>
      <c r="P32" s="102"/>
      <c r="Q32" s="102"/>
      <c r="R32" s="102"/>
      <c r="S32" s="17"/>
    </row>
    <row r="33" spans="2:19" s="6" customFormat="1" ht="27" customHeight="1" thickBot="1" x14ac:dyDescent="0.3">
      <c r="B33" s="17"/>
      <c r="C33" s="720" t="s">
        <v>319</v>
      </c>
      <c r="D33" s="720"/>
      <c r="E33" s="720"/>
      <c r="F33" s="108"/>
      <c r="G33" s="323">
        <v>0</v>
      </c>
      <c r="H33" s="721" t="s">
        <v>320</v>
      </c>
      <c r="I33" s="722"/>
      <c r="J33" s="722"/>
      <c r="K33" s="722"/>
      <c r="L33" s="722"/>
      <c r="M33" s="722"/>
      <c r="N33" s="722"/>
      <c r="O33" s="722"/>
      <c r="P33" s="102"/>
      <c r="Q33" s="102"/>
      <c r="R33" s="102"/>
      <c r="S33" s="17"/>
    </row>
    <row r="34" spans="2:19" s="13" customFormat="1" ht="18" customHeight="1" x14ac:dyDescent="0.25">
      <c r="B34" s="34"/>
      <c r="C34" s="77">
        <v>4</v>
      </c>
      <c r="D34" s="399" t="s">
        <v>315</v>
      </c>
      <c r="E34" s="399"/>
      <c r="F34" s="399"/>
      <c r="G34" s="399"/>
      <c r="H34" s="399"/>
      <c r="I34" s="399"/>
      <c r="J34" s="399"/>
      <c r="K34" s="399"/>
      <c r="L34" s="399"/>
      <c r="M34" s="399"/>
      <c r="N34" s="399"/>
      <c r="O34" s="399"/>
      <c r="P34" s="399"/>
      <c r="Q34" s="38"/>
      <c r="R34" s="41"/>
      <c r="S34" s="34"/>
    </row>
    <row r="35" spans="2:19" s="13" customFormat="1" ht="6.75" customHeight="1" thickBot="1" x14ac:dyDescent="0.3">
      <c r="B35" s="34"/>
      <c r="C35" s="77"/>
      <c r="D35" s="38"/>
      <c r="E35" s="38"/>
      <c r="F35" s="38"/>
      <c r="G35" s="38"/>
      <c r="H35" s="38"/>
      <c r="I35" s="38"/>
      <c r="J35" s="38"/>
      <c r="K35" s="38"/>
      <c r="L35" s="38"/>
      <c r="M35" s="38"/>
      <c r="N35" s="38"/>
      <c r="O35" s="38"/>
      <c r="P35" s="38"/>
      <c r="Q35" s="38"/>
      <c r="R35" s="41"/>
      <c r="S35" s="34"/>
    </row>
    <row r="36" spans="2:19" ht="26.45" customHeight="1" thickTop="1" thickBot="1" x14ac:dyDescent="0.3">
      <c r="B36" s="17"/>
      <c r="C36" s="714" t="s">
        <v>310</v>
      </c>
      <c r="D36" s="715"/>
      <c r="E36" s="715"/>
      <c r="F36" s="715"/>
      <c r="G36" s="715"/>
      <c r="H36" s="715"/>
      <c r="I36" s="715"/>
      <c r="J36" s="716"/>
      <c r="K36" s="265"/>
      <c r="L36" s="265"/>
      <c r="M36" s="265"/>
      <c r="N36" s="265"/>
      <c r="O36" s="265"/>
      <c r="P36" s="265"/>
      <c r="Q36" s="266"/>
      <c r="R36" s="272"/>
      <c r="S36" s="272"/>
    </row>
    <row r="37" spans="2:19" ht="16.899999999999999" customHeight="1" thickTop="1" thickBot="1" x14ac:dyDescent="0.3">
      <c r="B37" s="17"/>
      <c r="C37" s="739" t="s">
        <v>311</v>
      </c>
      <c r="D37" s="740"/>
      <c r="E37" s="743" t="s">
        <v>312</v>
      </c>
      <c r="F37" s="743"/>
      <c r="G37" s="743" t="s">
        <v>313</v>
      </c>
      <c r="H37" s="753" t="s">
        <v>352</v>
      </c>
      <c r="I37" s="754"/>
      <c r="J37" s="755"/>
      <c r="K37" s="265"/>
      <c r="L37" s="265"/>
      <c r="M37" s="265"/>
      <c r="N37" s="745" t="s">
        <v>316</v>
      </c>
      <c r="O37" s="747">
        <f>COUNTIF(L39:L45,"YES")</f>
        <v>0</v>
      </c>
      <c r="P37" s="748"/>
      <c r="Q37" s="266"/>
      <c r="R37" s="272"/>
      <c r="S37" s="272"/>
    </row>
    <row r="38" spans="2:19" ht="13.9" customHeight="1" thickBot="1" x14ac:dyDescent="0.3">
      <c r="B38" s="17"/>
      <c r="C38" s="741"/>
      <c r="D38" s="742"/>
      <c r="E38" s="744"/>
      <c r="F38" s="744"/>
      <c r="G38" s="744"/>
      <c r="H38" s="723" t="s">
        <v>353</v>
      </c>
      <c r="I38" s="724"/>
      <c r="J38" s="725"/>
      <c r="K38" s="271"/>
      <c r="L38" s="293" t="s">
        <v>314</v>
      </c>
      <c r="M38" s="265"/>
      <c r="N38" s="746"/>
      <c r="O38" s="749"/>
      <c r="P38" s="750"/>
      <c r="Q38" s="267"/>
      <c r="R38" s="272"/>
      <c r="S38" s="267"/>
    </row>
    <row r="39" spans="2:19" ht="16.5" thickTop="1" thickBot="1" x14ac:dyDescent="0.3">
      <c r="B39" s="17"/>
      <c r="C39" s="737"/>
      <c r="D39" s="738"/>
      <c r="E39" s="735"/>
      <c r="F39" s="736"/>
      <c r="G39" s="291" t="s">
        <v>169</v>
      </c>
      <c r="H39" s="726"/>
      <c r="I39" s="726"/>
      <c r="J39" s="727"/>
      <c r="K39" s="270"/>
      <c r="L39" s="292" t="s">
        <v>169</v>
      </c>
      <c r="M39" s="265"/>
      <c r="N39" s="642"/>
      <c r="O39" s="751"/>
      <c r="P39" s="752"/>
      <c r="Q39" s="268"/>
      <c r="R39" s="272"/>
      <c r="S39" s="269"/>
    </row>
    <row r="40" spans="2:19" x14ac:dyDescent="0.25">
      <c r="B40" s="17"/>
      <c r="C40" s="728"/>
      <c r="D40" s="729"/>
      <c r="E40" s="732"/>
      <c r="F40" s="733"/>
      <c r="G40" s="274" t="s">
        <v>169</v>
      </c>
      <c r="H40" s="710"/>
      <c r="I40" s="710"/>
      <c r="J40" s="711"/>
      <c r="K40" s="270"/>
      <c r="L40" s="279" t="s">
        <v>169</v>
      </c>
      <c r="M40" s="265"/>
      <c r="N40" s="268"/>
      <c r="O40" s="270"/>
      <c r="P40" s="270"/>
      <c r="Q40" s="268"/>
      <c r="R40" s="272"/>
      <c r="S40" s="269"/>
    </row>
    <row r="41" spans="2:19" x14ac:dyDescent="0.25">
      <c r="B41" s="17"/>
      <c r="C41" s="728"/>
      <c r="D41" s="729"/>
      <c r="E41" s="732"/>
      <c r="F41" s="733"/>
      <c r="G41" s="274" t="s">
        <v>169</v>
      </c>
      <c r="H41" s="710"/>
      <c r="I41" s="710"/>
      <c r="J41" s="711"/>
      <c r="K41" s="270"/>
      <c r="L41" s="279" t="s">
        <v>169</v>
      </c>
      <c r="M41" s="265"/>
      <c r="N41" s="268"/>
      <c r="O41" s="270"/>
      <c r="P41" s="270"/>
      <c r="Q41" s="268"/>
      <c r="R41" s="272"/>
      <c r="S41" s="269"/>
    </row>
    <row r="42" spans="2:19" x14ac:dyDescent="0.25">
      <c r="B42" s="17"/>
      <c r="C42" s="728"/>
      <c r="D42" s="729"/>
      <c r="E42" s="732"/>
      <c r="F42" s="733"/>
      <c r="G42" s="274" t="s">
        <v>169</v>
      </c>
      <c r="H42" s="710"/>
      <c r="I42" s="710"/>
      <c r="J42" s="711"/>
      <c r="K42" s="270"/>
      <c r="L42" s="279" t="s">
        <v>169</v>
      </c>
      <c r="M42" s="270"/>
      <c r="N42" s="268"/>
      <c r="O42" s="270"/>
      <c r="P42" s="270"/>
      <c r="Q42" s="268"/>
      <c r="R42" s="272"/>
      <c r="S42" s="269"/>
    </row>
    <row r="43" spans="2:19" x14ac:dyDescent="0.25">
      <c r="B43" s="17"/>
      <c r="C43" s="728"/>
      <c r="D43" s="729"/>
      <c r="E43" s="732"/>
      <c r="F43" s="733"/>
      <c r="G43" s="274" t="s">
        <v>169</v>
      </c>
      <c r="H43" s="710"/>
      <c r="I43" s="710"/>
      <c r="J43" s="711"/>
      <c r="K43" s="270"/>
      <c r="L43" s="279" t="s">
        <v>169</v>
      </c>
      <c r="M43" s="270"/>
      <c r="N43" s="268"/>
      <c r="O43" s="270"/>
      <c r="P43" s="270"/>
      <c r="Q43" s="268"/>
      <c r="R43" s="272"/>
      <c r="S43" s="269"/>
    </row>
    <row r="44" spans="2:19" x14ac:dyDescent="0.25">
      <c r="B44" s="17"/>
      <c r="C44" s="728"/>
      <c r="D44" s="729"/>
      <c r="E44" s="732"/>
      <c r="F44" s="733"/>
      <c r="G44" s="274" t="s">
        <v>169</v>
      </c>
      <c r="H44" s="710"/>
      <c r="I44" s="710"/>
      <c r="J44" s="711"/>
      <c r="K44" s="270"/>
      <c r="L44" s="279" t="s">
        <v>169</v>
      </c>
      <c r="M44" s="270"/>
      <c r="N44" s="268"/>
      <c r="O44" s="270"/>
      <c r="P44" s="270"/>
      <c r="Q44" s="268"/>
      <c r="R44" s="272"/>
      <c r="S44" s="269"/>
    </row>
    <row r="45" spans="2:19" ht="15.75" thickBot="1" x14ac:dyDescent="0.3">
      <c r="B45" s="17"/>
      <c r="C45" s="730"/>
      <c r="D45" s="731"/>
      <c r="E45" s="615"/>
      <c r="F45" s="734"/>
      <c r="G45" s="281" t="s">
        <v>169</v>
      </c>
      <c r="H45" s="712"/>
      <c r="I45" s="712"/>
      <c r="J45" s="713"/>
      <c r="K45" s="270"/>
      <c r="L45" s="280" t="s">
        <v>169</v>
      </c>
      <c r="M45" s="270"/>
      <c r="N45" s="268"/>
      <c r="O45" s="270"/>
      <c r="P45" s="270"/>
      <c r="Q45" s="268"/>
      <c r="R45" s="272"/>
      <c r="S45" s="269"/>
    </row>
    <row r="46" spans="2:19" ht="6" customHeight="1" thickTop="1" x14ac:dyDescent="0.25">
      <c r="B46" s="17"/>
      <c r="C46" s="275"/>
      <c r="D46" s="276"/>
      <c r="E46" s="277"/>
      <c r="F46" s="277"/>
      <c r="G46" s="278"/>
      <c r="H46" s="278"/>
      <c r="I46" s="273"/>
      <c r="J46" s="270"/>
      <c r="K46" s="270"/>
      <c r="L46" s="270"/>
      <c r="M46" s="270"/>
      <c r="N46" s="268"/>
      <c r="O46" s="270"/>
      <c r="P46" s="270"/>
      <c r="Q46" s="268"/>
      <c r="R46" s="272"/>
      <c r="S46" s="269"/>
    </row>
    <row r="47" spans="2:19" s="13" customFormat="1" ht="6" customHeight="1" x14ac:dyDescent="0.25">
      <c r="B47" s="34"/>
      <c r="C47" s="282"/>
      <c r="D47" s="757"/>
      <c r="E47" s="757"/>
      <c r="F47" s="757"/>
      <c r="G47" s="757"/>
      <c r="H47" s="757"/>
      <c r="I47" s="757"/>
      <c r="J47" s="757"/>
      <c r="K47" s="757"/>
      <c r="L47" s="757"/>
      <c r="M47" s="757"/>
      <c r="N47" s="757"/>
      <c r="O47" s="757"/>
      <c r="P47" s="757"/>
      <c r="Q47" s="38"/>
      <c r="R47" s="283"/>
      <c r="S47" s="34"/>
    </row>
    <row r="48" spans="2:19" ht="9" customHeight="1" x14ac:dyDescent="0.25">
      <c r="B48"/>
      <c r="C48"/>
      <c r="D48" s="112"/>
      <c r="E48" s="112"/>
      <c r="F48" s="112"/>
      <c r="G48" s="112"/>
      <c r="H48" s="112"/>
      <c r="I48" s="112"/>
      <c r="J48" s="112"/>
      <c r="K48" s="112"/>
      <c r="L48" s="112"/>
      <c r="M48" s="112"/>
      <c r="N48" s="112"/>
      <c r="O48" s="112"/>
      <c r="P48" s="112"/>
      <c r="Q48" s="112"/>
      <c r="R48" s="272"/>
      <c r="S48"/>
    </row>
    <row r="49" spans="2:24" ht="29.45" customHeight="1" x14ac:dyDescent="0.25">
      <c r="B49"/>
      <c r="C49" s="529" t="s">
        <v>323</v>
      </c>
      <c r="D49" s="529"/>
      <c r="E49" s="529"/>
      <c r="F49" s="113"/>
      <c r="G49" s="539"/>
      <c r="H49" s="758"/>
      <c r="I49" s="758"/>
      <c r="J49" s="758"/>
      <c r="K49" s="758"/>
      <c r="L49" s="540"/>
      <c r="M49" s="113"/>
      <c r="N49" s="114"/>
      <c r="O49" s="113"/>
      <c r="P49" s="533"/>
      <c r="Q49" s="533"/>
      <c r="R49" s="41"/>
      <c r="S49"/>
    </row>
    <row r="50" spans="2:24" ht="6.6" customHeight="1" x14ac:dyDescent="0.25">
      <c r="B50"/>
      <c r="C50"/>
      <c r="D50"/>
      <c r="E50"/>
      <c r="F50"/>
      <c r="G50"/>
      <c r="H50"/>
      <c r="I50"/>
      <c r="J50"/>
      <c r="K50"/>
      <c r="L50"/>
      <c r="M50"/>
      <c r="N50"/>
      <c r="O50"/>
      <c r="P50"/>
      <c r="Q50"/>
      <c r="R50" s="41"/>
      <c r="S50"/>
    </row>
    <row r="51" spans="2:24" ht="28.9" customHeight="1" x14ac:dyDescent="0.25">
      <c r="B51"/>
      <c r="C51" s="529" t="s">
        <v>324</v>
      </c>
      <c r="D51" s="529"/>
      <c r="E51" s="529"/>
      <c r="F51" s="113"/>
      <c r="G51" s="530"/>
      <c r="H51" s="531"/>
      <c r="I51" s="531"/>
      <c r="J51" s="531"/>
      <c r="K51" s="531"/>
      <c r="L51" s="532"/>
      <c r="M51" s="113"/>
      <c r="N51" s="114" t="s">
        <v>51</v>
      </c>
      <c r="O51" s="113"/>
      <c r="P51" s="530"/>
      <c r="Q51" s="532"/>
      <c r="R51" s="41"/>
      <c r="S51"/>
    </row>
    <row r="52" spans="2:24" ht="13.9" customHeight="1" x14ac:dyDescent="0.25">
      <c r="B52"/>
      <c r="C52"/>
      <c r="D52"/>
      <c r="E52"/>
      <c r="F52"/>
      <c r="G52"/>
      <c r="H52"/>
      <c r="I52"/>
      <c r="J52"/>
      <c r="K52"/>
      <c r="L52"/>
      <c r="M52"/>
      <c r="N52"/>
      <c r="O52"/>
      <c r="P52"/>
      <c r="Q52"/>
      <c r="R52" s="41"/>
      <c r="S52"/>
    </row>
    <row r="53" spans="2:24" x14ac:dyDescent="0.25">
      <c r="B53"/>
      <c r="C53" s="51"/>
      <c r="D53" s="407" t="s">
        <v>325</v>
      </c>
      <c r="E53" s="407"/>
      <c r="F53" s="407"/>
      <c r="G53" s="407"/>
      <c r="H53" s="407"/>
      <c r="I53" s="407"/>
      <c r="J53" s="407"/>
      <c r="K53" s="407"/>
      <c r="L53" s="407"/>
      <c r="M53" s="407"/>
      <c r="N53" s="407"/>
      <c r="O53" s="407"/>
      <c r="P53" s="407"/>
      <c r="Q53" s="407"/>
      <c r="R53" s="52"/>
      <c r="S53" s="52"/>
      <c r="T53" s="16"/>
      <c r="U53" s="16"/>
      <c r="V53" s="16"/>
      <c r="W53" s="15"/>
      <c r="X53" s="15"/>
    </row>
    <row r="54" spans="2:24" x14ac:dyDescent="0.25">
      <c r="B54"/>
      <c r="C54" s="408"/>
      <c r="D54" s="408"/>
      <c r="E54" s="408"/>
      <c r="F54" s="408"/>
      <c r="G54" s="408"/>
      <c r="H54" s="408"/>
      <c r="I54" s="408"/>
      <c r="J54" s="408"/>
      <c r="K54" s="408"/>
      <c r="L54" s="408"/>
      <c r="M54" s="408"/>
      <c r="N54" s="408"/>
      <c r="O54" s="408"/>
      <c r="P54" s="408"/>
      <c r="Q54" s="408"/>
      <c r="R54" s="408"/>
      <c r="S54" s="52"/>
      <c r="T54" s="16"/>
      <c r="U54" s="16"/>
      <c r="V54" s="16"/>
    </row>
    <row r="55" spans="2:24" x14ac:dyDescent="0.25">
      <c r="B55"/>
      <c r="C55" s="393"/>
      <c r="D55" s="393"/>
      <c r="E55" s="393"/>
      <c r="F55" s="393"/>
      <c r="G55" s="393"/>
      <c r="H55" s="393"/>
      <c r="I55" s="393"/>
      <c r="J55" s="393"/>
      <c r="K55" s="393"/>
      <c r="L55" s="393"/>
      <c r="M55" s="393"/>
      <c r="N55" s="393"/>
      <c r="O55" s="393"/>
      <c r="P55" s="393"/>
      <c r="Q55" s="393"/>
      <c r="R55" s="393"/>
      <c r="S55" s="52"/>
      <c r="T55" s="16"/>
      <c r="U55" s="16"/>
      <c r="V55" s="16"/>
    </row>
    <row r="56" spans="2:24" x14ac:dyDescent="0.25">
      <c r="S56" s="16"/>
      <c r="T56" s="16"/>
      <c r="U56" s="16"/>
      <c r="V56" s="16"/>
    </row>
    <row r="57" spans="2:24" x14ac:dyDescent="0.25">
      <c r="C57" s="426"/>
      <c r="D57" s="426"/>
      <c r="E57" s="426"/>
      <c r="F57" s="426"/>
      <c r="G57" s="426"/>
      <c r="H57" s="426"/>
      <c r="I57" s="426"/>
      <c r="J57" s="426"/>
      <c r="K57" s="426"/>
      <c r="L57" s="426"/>
      <c r="M57" s="426"/>
      <c r="N57" s="426"/>
      <c r="O57" s="426"/>
      <c r="P57" s="426"/>
      <c r="Q57" s="426"/>
      <c r="R57" s="426"/>
    </row>
  </sheetData>
  <sheetProtection algorithmName="SHA-512" hashValue="vMVj+NyA7ElvDmojMzPr+C3rOzd7TodNWnjUxSnGsF4wNleN1DVQZlP2rfEIjZhKnLpw6d2RtQjMEdCY58DZ/g==" saltValue="EnwvIBWBkX3ak2KKBLFtnw==" spinCount="100000" sheet="1" selectLockedCells="1"/>
  <mergeCells count="72">
    <mergeCell ref="C3:E3"/>
    <mergeCell ref="G3:N3"/>
    <mergeCell ref="P3:R3"/>
    <mergeCell ref="C4:E6"/>
    <mergeCell ref="G4:N4"/>
    <mergeCell ref="P4:R4"/>
    <mergeCell ref="G5:N5"/>
    <mergeCell ref="P5:R6"/>
    <mergeCell ref="G6:N6"/>
    <mergeCell ref="G7:N7"/>
    <mergeCell ref="P7:R7"/>
    <mergeCell ref="C10:R10"/>
    <mergeCell ref="C12:D12"/>
    <mergeCell ref="E12:H12"/>
    <mergeCell ref="Q12:R12"/>
    <mergeCell ref="L14:M14"/>
    <mergeCell ref="Q14:R14"/>
    <mergeCell ref="N16:R16"/>
    <mergeCell ref="D23:E23"/>
    <mergeCell ref="C18:R18"/>
    <mergeCell ref="C21:R21"/>
    <mergeCell ref="E16:J16"/>
    <mergeCell ref="C57:R57"/>
    <mergeCell ref="D25:P25"/>
    <mergeCell ref="C27:R27"/>
    <mergeCell ref="C14:D14"/>
    <mergeCell ref="E14:J14"/>
    <mergeCell ref="C51:E51"/>
    <mergeCell ref="G51:L51"/>
    <mergeCell ref="P51:Q51"/>
    <mergeCell ref="D53:Q53"/>
    <mergeCell ref="C54:R54"/>
    <mergeCell ref="C55:R55"/>
    <mergeCell ref="D47:P47"/>
    <mergeCell ref="C49:E49"/>
    <mergeCell ref="G49:L49"/>
    <mergeCell ref="P49:Q49"/>
    <mergeCell ref="C16:D16"/>
    <mergeCell ref="E39:F39"/>
    <mergeCell ref="D34:P34"/>
    <mergeCell ref="C39:D39"/>
    <mergeCell ref="C37:D38"/>
    <mergeCell ref="E37:F38"/>
    <mergeCell ref="G37:G38"/>
    <mergeCell ref="N37:N39"/>
    <mergeCell ref="O37:P39"/>
    <mergeCell ref="H37:J37"/>
    <mergeCell ref="C43:D43"/>
    <mergeCell ref="C44:D44"/>
    <mergeCell ref="C45:D45"/>
    <mergeCell ref="E40:F40"/>
    <mergeCell ref="E41:F41"/>
    <mergeCell ref="E42:F42"/>
    <mergeCell ref="E43:F43"/>
    <mergeCell ref="E44:F44"/>
    <mergeCell ref="E45:F45"/>
    <mergeCell ref="H44:J44"/>
    <mergeCell ref="H45:J45"/>
    <mergeCell ref="C36:J36"/>
    <mergeCell ref="C31:R31"/>
    <mergeCell ref="D29:P29"/>
    <mergeCell ref="C33:E33"/>
    <mergeCell ref="H33:O33"/>
    <mergeCell ref="H38:J38"/>
    <mergeCell ref="H39:J39"/>
    <mergeCell ref="H40:J40"/>
    <mergeCell ref="H41:J41"/>
    <mergeCell ref="H42:J42"/>
    <mergeCell ref="H43:J43"/>
    <mergeCell ref="C40:D40"/>
    <mergeCell ref="C41:D41"/>
    <mergeCell ref="C42:D42"/>
  </mergeCells>
  <dataValidations count="2">
    <dataValidation type="list" allowBlank="1" showInputMessage="1" showErrorMessage="1" sqref="G39:G45" xr:uid="{831B07E5-34CA-4901-AE55-7256EEE9E3DC}">
      <formula1>"SELECT,Occupied,Vacant,Empty,Relocated,Down,OTHER"</formula1>
    </dataValidation>
    <dataValidation type="list" allowBlank="1" showInputMessage="1" showErrorMessage="1" sqref="L39:L45" xr:uid="{2779C7DD-9DFB-49B2-8A21-477AA96AB303}">
      <formula1>"SELECT,YES,No"</formula1>
    </dataValidation>
  </dataValidations>
  <printOptions horizontalCentered="1"/>
  <pageMargins left="0.25" right="0.25" top="0.5" bottom="0.5" header="0.3" footer="0.3"/>
  <pageSetup scale="78" orientation="portrait" r:id="rId1"/>
  <headerFooter>
    <oddFooter>&amp;RMHC Rev. 03/2025</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7281A92-701A-425B-9AB9-4AB463FD4DAC}">
          <x14:formula1>
            <xm:f>CODES!$A$5:$A$8</xm:f>
          </x14:formula1>
          <xm:sqref>O40:P46 K39:K46 J46 Q39:Q46</xm:sqref>
        </x14:dataValidation>
        <x14:dataValidation type="list" allowBlank="1" showInputMessage="1" showErrorMessage="1" xr:uid="{70C30034-1BB9-4574-A629-731B481DCD53}">
          <x14:formula1>
            <xm:f>CODES!$C$5:$C$10</xm:f>
          </x14:formula1>
          <xm:sqref>S39:S46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2D908-9EC3-4A2C-B61C-43AFA115DECE}">
  <sheetPr codeName="Sheet17">
    <tabColor theme="3" tint="0.749992370372631"/>
  </sheetPr>
  <dimension ref="B1:X57"/>
  <sheetViews>
    <sheetView showGridLines="0" zoomScaleNormal="100" workbookViewId="0">
      <selection activeCell="E12" sqref="E12:H12"/>
    </sheetView>
  </sheetViews>
  <sheetFormatPr defaultColWidth="9.140625" defaultRowHeight="15" x14ac:dyDescent="0.25"/>
  <cols>
    <col min="1" max="1" width="61.140625" style="3" customWidth="1"/>
    <col min="2" max="2" width="4" style="3" customWidth="1"/>
    <col min="3" max="3" width="7.7109375" style="3" customWidth="1"/>
    <col min="4" max="4" width="8" style="3" customWidth="1"/>
    <col min="5" max="5" width="9.28515625" style="3" customWidth="1"/>
    <col min="6" max="6" width="1" style="3" customWidth="1"/>
    <col min="7" max="7" width="15.7109375" style="3" customWidth="1"/>
    <col min="8" max="8" width="21.7109375" style="3" customWidth="1"/>
    <col min="9" max="9" width="3" style="3" customWidth="1"/>
    <col min="10" max="10" width="2.7109375" style="3" customWidth="1"/>
    <col min="11" max="11" width="0.7109375" style="3" customWidth="1"/>
    <col min="12" max="12" width="10.85546875" style="3" customWidth="1"/>
    <col min="13" max="13" width="2.7109375" style="3" customWidth="1"/>
    <col min="14" max="14" width="12.5703125" style="3" customWidth="1"/>
    <col min="15" max="15" width="1" style="3" customWidth="1"/>
    <col min="16" max="16" width="9.42578125" style="3" customWidth="1"/>
    <col min="17" max="18" width="5.7109375" style="3" customWidth="1"/>
    <col min="19" max="19" width="4" style="3" customWidth="1"/>
    <col min="20" max="16384" width="9.140625" style="3"/>
  </cols>
  <sheetData>
    <row r="1" spans="2:19" ht="23.45" customHeight="1" x14ac:dyDescent="0.25"/>
    <row r="2" spans="2:19" s="6" customFormat="1" ht="9" customHeight="1" x14ac:dyDescent="0.25">
      <c r="B2" s="17"/>
      <c r="C2" s="17"/>
      <c r="D2" s="17"/>
      <c r="E2" s="17"/>
      <c r="F2" s="17"/>
      <c r="G2" s="17"/>
      <c r="H2" s="17"/>
      <c r="I2" s="17"/>
      <c r="J2" s="17"/>
      <c r="K2" s="17"/>
      <c r="L2" s="17"/>
      <c r="M2" s="17"/>
      <c r="N2" s="17"/>
      <c r="O2" s="17"/>
      <c r="P2" s="17"/>
      <c r="Q2" s="17"/>
      <c r="R2" s="17"/>
      <c r="S2" s="17"/>
    </row>
    <row r="3" spans="2:19" s="6" customFormat="1" ht="15.75" x14ac:dyDescent="0.25">
      <c r="B3" s="17"/>
      <c r="C3" s="761" t="s">
        <v>382</v>
      </c>
      <c r="D3" s="761"/>
      <c r="E3" s="761"/>
      <c r="F3" s="17"/>
      <c r="G3" s="505"/>
      <c r="H3" s="505"/>
      <c r="I3" s="505"/>
      <c r="J3" s="505"/>
      <c r="K3" s="505"/>
      <c r="L3" s="505"/>
      <c r="M3" s="505"/>
      <c r="N3" s="505"/>
      <c r="O3" s="17"/>
      <c r="P3" s="427"/>
      <c r="Q3" s="427"/>
      <c r="R3" s="427"/>
      <c r="S3" s="17"/>
    </row>
    <row r="4" spans="2:19" s="6" customFormat="1" ht="27.6" customHeight="1" x14ac:dyDescent="0.25">
      <c r="B4" s="17"/>
      <c r="C4" s="410"/>
      <c r="D4" s="410"/>
      <c r="E4" s="411"/>
      <c r="F4" s="17"/>
      <c r="G4" s="562" t="s">
        <v>0</v>
      </c>
      <c r="H4" s="562"/>
      <c r="I4" s="562"/>
      <c r="J4" s="562"/>
      <c r="K4" s="562"/>
      <c r="L4" s="562"/>
      <c r="M4" s="562"/>
      <c r="N4" s="562"/>
      <c r="O4" s="21"/>
      <c r="P4" s="413" t="s">
        <v>409</v>
      </c>
      <c r="Q4" s="414"/>
      <c r="R4" s="414"/>
      <c r="S4" s="17"/>
    </row>
    <row r="5" spans="2:19" s="6" customFormat="1" ht="18.75" x14ac:dyDescent="0.4">
      <c r="B5" s="17"/>
      <c r="C5" s="410"/>
      <c r="D5" s="410"/>
      <c r="E5" s="411"/>
      <c r="F5" s="17"/>
      <c r="G5" s="511" t="s">
        <v>383</v>
      </c>
      <c r="H5" s="511"/>
      <c r="I5" s="511"/>
      <c r="J5" s="511"/>
      <c r="K5" s="511"/>
      <c r="L5" s="511"/>
      <c r="M5" s="511"/>
      <c r="N5" s="511"/>
      <c r="O5" s="22"/>
      <c r="P5" s="416">
        <v>2024</v>
      </c>
      <c r="Q5" s="417"/>
      <c r="R5" s="417"/>
      <c r="S5" s="17"/>
    </row>
    <row r="6" spans="2:19" s="6" customFormat="1" ht="18" customHeight="1" x14ac:dyDescent="0.25">
      <c r="B6" s="17"/>
      <c r="C6" s="410"/>
      <c r="D6" s="410"/>
      <c r="E6" s="411"/>
      <c r="F6" s="17"/>
      <c r="G6" s="762" t="s">
        <v>1244</v>
      </c>
      <c r="H6" s="762"/>
      <c r="I6" s="762"/>
      <c r="J6" s="762"/>
      <c r="K6" s="762"/>
      <c r="L6" s="762"/>
      <c r="M6" s="762"/>
      <c r="N6" s="762"/>
      <c r="O6" s="23"/>
      <c r="P6" s="418"/>
      <c r="Q6" s="419"/>
      <c r="R6" s="419"/>
      <c r="S6" s="17"/>
    </row>
    <row r="7" spans="2:19" s="6" customFormat="1" ht="14.45" customHeight="1" thickBot="1" x14ac:dyDescent="0.3">
      <c r="B7" s="17"/>
      <c r="C7" s="24"/>
      <c r="D7" s="25"/>
      <c r="E7" s="26"/>
      <c r="F7" s="25"/>
      <c r="G7" s="525"/>
      <c r="H7" s="525"/>
      <c r="I7" s="525"/>
      <c r="J7" s="525"/>
      <c r="K7" s="525"/>
      <c r="L7" s="525"/>
      <c r="M7" s="525"/>
      <c r="N7" s="525"/>
      <c r="O7" s="27"/>
      <c r="P7" s="423" t="s">
        <v>1</v>
      </c>
      <c r="Q7" s="424"/>
      <c r="R7" s="424"/>
      <c r="S7" s="17"/>
    </row>
    <row r="8" spans="2:19" s="6" customFormat="1" ht="7.5" customHeight="1" x14ac:dyDescent="0.25">
      <c r="B8" s="17"/>
      <c r="C8" s="17"/>
      <c r="D8" s="17"/>
      <c r="E8" s="17"/>
      <c r="F8" s="17"/>
      <c r="G8" s="17"/>
      <c r="H8" s="17"/>
      <c r="I8" s="17"/>
      <c r="J8" s="17"/>
      <c r="K8" s="17"/>
      <c r="L8" s="17"/>
      <c r="M8" s="17"/>
      <c r="N8" s="17"/>
      <c r="O8" s="17"/>
      <c r="P8" s="17"/>
      <c r="Q8" s="17"/>
      <c r="R8" s="17"/>
      <c r="S8" s="17"/>
    </row>
    <row r="9" spans="2:19" s="6" customFormat="1" ht="5.25" customHeight="1" thickBot="1" x14ac:dyDescent="0.3">
      <c r="B9" s="17"/>
      <c r="C9" s="33"/>
      <c r="D9" s="33"/>
      <c r="E9" s="33"/>
      <c r="F9" s="33"/>
      <c r="G9" s="33"/>
      <c r="H9" s="33"/>
      <c r="I9" s="33"/>
      <c r="J9" s="33"/>
      <c r="K9" s="33"/>
      <c r="L9" s="25"/>
      <c r="M9" s="28"/>
      <c r="N9" s="25"/>
      <c r="O9" s="25"/>
      <c r="P9" s="25"/>
      <c r="Q9" s="25"/>
      <c r="R9" s="25"/>
      <c r="S9" s="17"/>
    </row>
    <row r="10" spans="2:19" s="6" customFormat="1" ht="30" customHeight="1" x14ac:dyDescent="0.25">
      <c r="B10" s="17"/>
      <c r="C10" s="763" t="s">
        <v>368</v>
      </c>
      <c r="D10" s="763"/>
      <c r="E10" s="763"/>
      <c r="F10" s="763"/>
      <c r="G10" s="763"/>
      <c r="H10" s="763"/>
      <c r="I10" s="763"/>
      <c r="J10" s="763"/>
      <c r="K10" s="763"/>
      <c r="L10" s="763"/>
      <c r="M10" s="763"/>
      <c r="N10" s="763"/>
      <c r="O10" s="763"/>
      <c r="P10" s="763"/>
      <c r="Q10" s="763"/>
      <c r="R10" s="763"/>
      <c r="S10" s="17"/>
    </row>
    <row r="11" spans="2:19" s="6" customFormat="1" ht="5.45" customHeight="1" x14ac:dyDescent="0.25">
      <c r="B11" s="17"/>
      <c r="C11" s="29"/>
      <c r="D11" s="29"/>
      <c r="E11" s="20"/>
      <c r="F11" s="20"/>
      <c r="G11" s="20"/>
      <c r="H11" s="20"/>
      <c r="I11" s="20"/>
      <c r="J11" s="20"/>
      <c r="K11" s="20"/>
      <c r="L11" s="17"/>
      <c r="M11" s="20"/>
      <c r="N11" s="17"/>
      <c r="O11" s="17"/>
      <c r="P11" s="17"/>
      <c r="Q11" s="17"/>
      <c r="R11" s="17"/>
      <c r="S11" s="17"/>
    </row>
    <row r="12" spans="2:19" s="6" customFormat="1" ht="24" customHeight="1" x14ac:dyDescent="0.25">
      <c r="B12" s="17"/>
      <c r="C12" s="430" t="s">
        <v>2</v>
      </c>
      <c r="D12" s="431"/>
      <c r="E12" s="516"/>
      <c r="F12" s="566"/>
      <c r="G12" s="566"/>
      <c r="H12" s="517"/>
      <c r="I12" s="17"/>
      <c r="J12" s="17"/>
      <c r="K12" s="17"/>
      <c r="L12" s="17"/>
      <c r="M12" s="17"/>
      <c r="N12" s="32" t="s">
        <v>3</v>
      </c>
      <c r="O12" s="29"/>
      <c r="P12" s="20" t="s">
        <v>4</v>
      </c>
      <c r="Q12" s="516"/>
      <c r="R12" s="517"/>
      <c r="S12" s="17"/>
    </row>
    <row r="13" spans="2:19" s="6" customFormat="1" ht="5.25" customHeight="1" x14ac:dyDescent="0.25">
      <c r="B13" s="17"/>
      <c r="C13" s="29"/>
      <c r="D13" s="29"/>
      <c r="E13" s="29"/>
      <c r="F13" s="29"/>
      <c r="G13" s="29"/>
      <c r="H13" s="29"/>
      <c r="I13" s="29"/>
      <c r="J13" s="29"/>
      <c r="K13" s="29"/>
      <c r="L13" s="17"/>
      <c r="M13" s="20"/>
      <c r="N13" s="17"/>
      <c r="O13" s="17"/>
      <c r="P13" s="17"/>
      <c r="Q13" s="17"/>
      <c r="R13" s="17"/>
      <c r="S13" s="17"/>
    </row>
    <row r="14" spans="2:19" s="6" customFormat="1" ht="24" customHeight="1" x14ac:dyDescent="0.25">
      <c r="B14" s="17"/>
      <c r="C14" s="756" t="s">
        <v>107</v>
      </c>
      <c r="D14" s="756"/>
      <c r="E14" s="502"/>
      <c r="F14" s="503"/>
      <c r="G14" s="503"/>
      <c r="H14" s="503"/>
      <c r="I14" s="503"/>
      <c r="J14" s="504"/>
      <c r="K14" s="104"/>
      <c r="L14" s="509" t="s">
        <v>108</v>
      </c>
      <c r="M14" s="510"/>
      <c r="N14" s="314"/>
      <c r="O14" s="106"/>
      <c r="P14" s="98" t="s">
        <v>109</v>
      </c>
      <c r="Q14" s="502"/>
      <c r="R14" s="504"/>
      <c r="S14" s="17"/>
    </row>
    <row r="15" spans="2:19" s="6" customFormat="1" ht="8.4499999999999993" customHeight="1" x14ac:dyDescent="0.25">
      <c r="B15" s="17"/>
      <c r="C15" s="97"/>
      <c r="D15" s="97"/>
      <c r="E15" s="97"/>
      <c r="F15" s="97"/>
      <c r="G15" s="103"/>
      <c r="H15" s="102"/>
      <c r="I15" s="102"/>
      <c r="J15" s="102"/>
      <c r="K15" s="102"/>
      <c r="L15" s="102"/>
      <c r="M15" s="102"/>
      <c r="N15" s="101"/>
      <c r="O15" s="102"/>
      <c r="P15" s="102"/>
      <c r="Q15" s="101"/>
      <c r="R15" s="101"/>
      <c r="S15" s="17"/>
    </row>
    <row r="16" spans="2:19" s="6" customFormat="1" ht="24" customHeight="1" x14ac:dyDescent="0.25">
      <c r="B16" s="17"/>
      <c r="C16" s="498" t="s">
        <v>111</v>
      </c>
      <c r="D16" s="498"/>
      <c r="E16" s="502"/>
      <c r="F16" s="503"/>
      <c r="G16" s="503"/>
      <c r="H16" s="503"/>
      <c r="I16" s="503"/>
      <c r="J16" s="504"/>
      <c r="K16" s="106"/>
      <c r="L16" s="264" t="s">
        <v>53</v>
      </c>
      <c r="M16" s="99"/>
      <c r="N16" s="502"/>
      <c r="O16" s="503"/>
      <c r="P16" s="503"/>
      <c r="Q16" s="503"/>
      <c r="R16" s="504"/>
      <c r="S16" s="17"/>
    </row>
    <row r="17" spans="2:19" s="6" customFormat="1" ht="10.9" customHeight="1" thickBot="1" x14ac:dyDescent="0.3">
      <c r="B17" s="17"/>
      <c r="C17" s="17"/>
      <c r="D17" s="17"/>
      <c r="E17" s="17"/>
      <c r="F17" s="17"/>
      <c r="G17" s="17"/>
      <c r="H17" s="17"/>
      <c r="I17" s="17"/>
      <c r="J17" s="17"/>
      <c r="K17" s="17"/>
      <c r="L17" s="17"/>
      <c r="M17" s="17"/>
      <c r="N17" s="17"/>
      <c r="O17" s="17"/>
      <c r="P17" s="17"/>
      <c r="Q17" s="17"/>
      <c r="R17" s="17"/>
      <c r="S17" s="17"/>
    </row>
    <row r="18" spans="2:19" s="6" customFormat="1" ht="47.25" customHeight="1" x14ac:dyDescent="0.25">
      <c r="B18" s="17"/>
      <c r="C18" s="760" t="s">
        <v>326</v>
      </c>
      <c r="D18" s="760"/>
      <c r="E18" s="760"/>
      <c r="F18" s="760"/>
      <c r="G18" s="760"/>
      <c r="H18" s="760"/>
      <c r="I18" s="760"/>
      <c r="J18" s="760"/>
      <c r="K18" s="760"/>
      <c r="L18" s="760"/>
      <c r="M18" s="760"/>
      <c r="N18" s="760"/>
      <c r="O18" s="760"/>
      <c r="P18" s="760"/>
      <c r="Q18" s="760"/>
      <c r="R18" s="760"/>
      <c r="S18" s="17"/>
    </row>
    <row r="19" spans="2:19" s="6" customFormat="1" ht="5.25" customHeight="1" thickBot="1" x14ac:dyDescent="0.3">
      <c r="B19" s="17"/>
      <c r="C19" s="17"/>
      <c r="D19" s="17"/>
      <c r="E19" s="17"/>
      <c r="F19" s="17"/>
      <c r="G19" s="17"/>
      <c r="H19" s="17"/>
      <c r="I19" s="17"/>
      <c r="J19" s="17"/>
      <c r="K19" s="17"/>
      <c r="L19" s="17"/>
      <c r="M19" s="17"/>
      <c r="N19" s="17"/>
      <c r="O19" s="17"/>
      <c r="P19" s="17"/>
      <c r="Q19" s="17"/>
      <c r="R19" s="17"/>
      <c r="S19" s="17"/>
    </row>
    <row r="20" spans="2:19" s="6" customFormat="1" ht="3.6" customHeight="1" thickBot="1" x14ac:dyDescent="0.3">
      <c r="B20" s="17"/>
      <c r="C20" s="42"/>
      <c r="D20" s="42"/>
      <c r="E20" s="42"/>
      <c r="F20" s="42"/>
      <c r="G20" s="42"/>
      <c r="H20" s="42"/>
      <c r="I20" s="42"/>
      <c r="J20" s="42"/>
      <c r="K20" s="42"/>
      <c r="L20" s="42"/>
      <c r="M20" s="42"/>
      <c r="N20" s="42"/>
      <c r="O20" s="42"/>
      <c r="P20" s="42"/>
      <c r="Q20" s="42"/>
      <c r="R20" s="42"/>
      <c r="S20" s="17"/>
    </row>
    <row r="21" spans="2:19" s="6" customFormat="1" ht="20.45" customHeight="1" thickBot="1" x14ac:dyDescent="0.3">
      <c r="B21" s="17"/>
      <c r="C21" s="506" t="s">
        <v>384</v>
      </c>
      <c r="D21" s="507"/>
      <c r="E21" s="507"/>
      <c r="F21" s="507"/>
      <c r="G21" s="507"/>
      <c r="H21" s="507"/>
      <c r="I21" s="507"/>
      <c r="J21" s="507"/>
      <c r="K21" s="507"/>
      <c r="L21" s="507"/>
      <c r="M21" s="507"/>
      <c r="N21" s="507"/>
      <c r="O21" s="507"/>
      <c r="P21" s="507"/>
      <c r="Q21" s="507"/>
      <c r="R21" s="508"/>
      <c r="S21" s="17"/>
    </row>
    <row r="22" spans="2:19" s="6" customFormat="1" ht="7.15" customHeight="1" x14ac:dyDescent="0.25">
      <c r="B22" s="17"/>
      <c r="C22" s="42"/>
      <c r="D22" s="42"/>
      <c r="E22" s="42"/>
      <c r="F22" s="42"/>
      <c r="G22" s="42"/>
      <c r="H22" s="42"/>
      <c r="I22" s="42"/>
      <c r="J22" s="42"/>
      <c r="K22" s="42"/>
      <c r="L22" s="42"/>
      <c r="M22" s="42"/>
      <c r="N22" s="42"/>
      <c r="O22" s="42"/>
      <c r="P22" s="42"/>
      <c r="Q22" s="42"/>
      <c r="R22" s="42"/>
      <c r="S22" s="17"/>
    </row>
    <row r="23" spans="2:19" s="6" customFormat="1" ht="24" customHeight="1" x14ac:dyDescent="0.25">
      <c r="B23" s="17"/>
      <c r="C23" s="244">
        <v>1</v>
      </c>
      <c r="D23" s="759" t="s">
        <v>309</v>
      </c>
      <c r="E23" s="759"/>
      <c r="F23" s="264"/>
      <c r="G23" s="322"/>
      <c r="H23" s="284"/>
      <c r="I23" s="69"/>
      <c r="J23" s="69"/>
      <c r="K23" s="69"/>
      <c r="L23" s="69"/>
      <c r="M23" s="99"/>
      <c r="N23" s="97"/>
      <c r="O23" s="97"/>
      <c r="P23" s="97"/>
      <c r="Q23" s="97"/>
      <c r="R23" s="97"/>
      <c r="S23" s="97"/>
    </row>
    <row r="24" spans="2:19" s="6" customFormat="1" ht="8.4499999999999993" customHeight="1" x14ac:dyDescent="0.25">
      <c r="B24" s="17"/>
      <c r="C24" s="97"/>
      <c r="D24" s="97"/>
      <c r="E24" s="97"/>
      <c r="F24" s="97"/>
      <c r="G24" s="101"/>
      <c r="H24" s="102"/>
      <c r="I24" s="102"/>
      <c r="J24" s="102"/>
      <c r="K24" s="102"/>
      <c r="L24" s="102"/>
      <c r="M24" s="102"/>
      <c r="N24" s="102"/>
      <c r="O24" s="102"/>
      <c r="P24" s="102"/>
      <c r="Q24" s="102"/>
      <c r="R24" s="102"/>
      <c r="S24" s="17"/>
    </row>
    <row r="25" spans="2:19" s="13" customFormat="1" ht="15.75" customHeight="1" x14ac:dyDescent="0.25">
      <c r="B25" s="34"/>
      <c r="C25" s="77">
        <v>2</v>
      </c>
      <c r="D25" s="399" t="s">
        <v>318</v>
      </c>
      <c r="E25" s="399"/>
      <c r="F25" s="399"/>
      <c r="G25" s="399"/>
      <c r="H25" s="399"/>
      <c r="I25" s="399"/>
      <c r="J25" s="399"/>
      <c r="K25" s="399"/>
      <c r="L25" s="399"/>
      <c r="M25" s="399"/>
      <c r="N25" s="399"/>
      <c r="O25" s="399"/>
      <c r="P25" s="399"/>
      <c r="Q25" s="38"/>
      <c r="R25" s="41"/>
      <c r="S25" s="34"/>
    </row>
    <row r="26" spans="2:19" s="13" customFormat="1" ht="6.75" customHeight="1" x14ac:dyDescent="0.25">
      <c r="B26" s="34"/>
      <c r="C26" s="77"/>
      <c r="D26" s="111"/>
      <c r="E26" s="111"/>
      <c r="F26" s="111"/>
      <c r="G26" s="111"/>
      <c r="H26" s="111"/>
      <c r="I26" s="111"/>
      <c r="J26" s="111"/>
      <c r="K26" s="111"/>
      <c r="L26" s="111"/>
      <c r="M26" s="111"/>
      <c r="N26" s="111"/>
      <c r="O26" s="111"/>
      <c r="P26" s="111"/>
      <c r="Q26" s="38"/>
      <c r="R26" s="41"/>
      <c r="S26" s="34"/>
    </row>
    <row r="27" spans="2:19" s="13" customFormat="1" ht="62.25" customHeight="1" x14ac:dyDescent="0.25">
      <c r="B27" s="34"/>
      <c r="C27" s="717"/>
      <c r="D27" s="718"/>
      <c r="E27" s="718"/>
      <c r="F27" s="718"/>
      <c r="G27" s="718"/>
      <c r="H27" s="718"/>
      <c r="I27" s="718"/>
      <c r="J27" s="718"/>
      <c r="K27" s="718"/>
      <c r="L27" s="718"/>
      <c r="M27" s="718"/>
      <c r="N27" s="718"/>
      <c r="O27" s="718"/>
      <c r="P27" s="718"/>
      <c r="Q27" s="718"/>
      <c r="R27" s="719"/>
      <c r="S27" s="34"/>
    </row>
    <row r="28" spans="2:19" s="13" customFormat="1" ht="6.75" customHeight="1" x14ac:dyDescent="0.25">
      <c r="B28" s="34"/>
      <c r="C28" s="77"/>
      <c r="D28" s="111"/>
      <c r="E28" s="111"/>
      <c r="F28" s="111"/>
      <c r="G28" s="111"/>
      <c r="H28" s="111"/>
      <c r="I28" s="111"/>
      <c r="J28" s="111"/>
      <c r="K28" s="111"/>
      <c r="L28" s="111"/>
      <c r="M28" s="111"/>
      <c r="N28" s="111"/>
      <c r="O28" s="111"/>
      <c r="P28" s="111"/>
      <c r="Q28" s="38"/>
      <c r="R28" s="41"/>
      <c r="S28" s="34"/>
    </row>
    <row r="29" spans="2:19" s="13" customFormat="1" ht="17.25" customHeight="1" x14ac:dyDescent="0.25">
      <c r="B29" s="34"/>
      <c r="C29" s="77">
        <v>3</v>
      </c>
      <c r="D29" s="399" t="s">
        <v>317</v>
      </c>
      <c r="E29" s="399"/>
      <c r="F29" s="399"/>
      <c r="G29" s="399"/>
      <c r="H29" s="399"/>
      <c r="I29" s="399"/>
      <c r="J29" s="399"/>
      <c r="K29" s="399"/>
      <c r="L29" s="399"/>
      <c r="M29" s="399"/>
      <c r="N29" s="399"/>
      <c r="O29" s="399"/>
      <c r="P29" s="399"/>
      <c r="Q29" s="38"/>
      <c r="R29" s="41"/>
      <c r="S29" s="34"/>
    </row>
    <row r="30" spans="2:19" s="13" customFormat="1" ht="4.5" customHeight="1" x14ac:dyDescent="0.25">
      <c r="B30" s="34"/>
      <c r="C30" s="77"/>
      <c r="D30" s="38"/>
      <c r="E30" s="38"/>
      <c r="F30" s="38"/>
      <c r="G30" s="38"/>
      <c r="H30" s="38"/>
      <c r="I30" s="38"/>
      <c r="J30" s="38"/>
      <c r="K30" s="38"/>
      <c r="L30" s="38"/>
      <c r="M30" s="38"/>
      <c r="N30" s="38"/>
      <c r="O30" s="38"/>
      <c r="P30" s="38"/>
      <c r="Q30" s="38"/>
      <c r="R30" s="41"/>
      <c r="S30" s="34"/>
    </row>
    <row r="31" spans="2:19" s="13" customFormat="1" ht="59.25" customHeight="1" x14ac:dyDescent="0.25">
      <c r="B31" s="34"/>
      <c r="C31" s="717"/>
      <c r="D31" s="718"/>
      <c r="E31" s="718"/>
      <c r="F31" s="718"/>
      <c r="G31" s="718"/>
      <c r="H31" s="718"/>
      <c r="I31" s="718"/>
      <c r="J31" s="718"/>
      <c r="K31" s="718"/>
      <c r="L31" s="718"/>
      <c r="M31" s="718"/>
      <c r="N31" s="718"/>
      <c r="O31" s="718"/>
      <c r="P31" s="718"/>
      <c r="Q31" s="718"/>
      <c r="R31" s="719"/>
      <c r="S31" s="34"/>
    </row>
    <row r="32" spans="2:19" s="6" customFormat="1" ht="7.9" customHeight="1" thickBot="1" x14ac:dyDescent="0.3">
      <c r="B32" s="17"/>
      <c r="C32" s="108"/>
      <c r="D32" s="108"/>
      <c r="E32" s="108"/>
      <c r="F32" s="108"/>
      <c r="G32" s="108"/>
      <c r="H32" s="108"/>
      <c r="I32" s="108"/>
      <c r="J32" s="108"/>
      <c r="K32" s="102"/>
      <c r="L32" s="102"/>
      <c r="M32" s="102"/>
      <c r="N32" s="102"/>
      <c r="O32" s="102"/>
      <c r="P32" s="102"/>
      <c r="Q32" s="102"/>
      <c r="R32" s="102"/>
      <c r="S32" s="17"/>
    </row>
    <row r="33" spans="2:19" s="6" customFormat="1" ht="27" customHeight="1" thickBot="1" x14ac:dyDescent="0.3">
      <c r="B33" s="17"/>
      <c r="C33" s="720" t="s">
        <v>319</v>
      </c>
      <c r="D33" s="720"/>
      <c r="E33" s="720"/>
      <c r="F33" s="108"/>
      <c r="G33" s="323">
        <v>0</v>
      </c>
      <c r="H33" s="721" t="s">
        <v>320</v>
      </c>
      <c r="I33" s="722"/>
      <c r="J33" s="722"/>
      <c r="K33" s="722"/>
      <c r="L33" s="722"/>
      <c r="M33" s="722"/>
      <c r="N33" s="722"/>
      <c r="O33" s="722"/>
      <c r="P33" s="102"/>
      <c r="Q33" s="102"/>
      <c r="R33" s="102"/>
      <c r="S33" s="17"/>
    </row>
    <row r="34" spans="2:19" s="13" customFormat="1" ht="18" customHeight="1" x14ac:dyDescent="0.25">
      <c r="B34" s="34"/>
      <c r="C34" s="77">
        <v>4</v>
      </c>
      <c r="D34" s="399" t="s">
        <v>315</v>
      </c>
      <c r="E34" s="399"/>
      <c r="F34" s="399"/>
      <c r="G34" s="399"/>
      <c r="H34" s="399"/>
      <c r="I34" s="399"/>
      <c r="J34" s="399"/>
      <c r="K34" s="399"/>
      <c r="L34" s="399"/>
      <c r="M34" s="399"/>
      <c r="N34" s="399"/>
      <c r="O34" s="399"/>
      <c r="P34" s="399"/>
      <c r="Q34" s="38"/>
      <c r="R34" s="41"/>
      <c r="S34" s="34"/>
    </row>
    <row r="35" spans="2:19" s="13" customFormat="1" ht="6.75" customHeight="1" thickBot="1" x14ac:dyDescent="0.3">
      <c r="B35" s="34"/>
      <c r="C35" s="77"/>
      <c r="D35" s="38"/>
      <c r="E35" s="38"/>
      <c r="F35" s="38"/>
      <c r="G35" s="38"/>
      <c r="H35" s="38"/>
      <c r="I35" s="38"/>
      <c r="J35" s="38"/>
      <c r="K35" s="38"/>
      <c r="L35" s="38"/>
      <c r="M35" s="38"/>
      <c r="N35" s="38"/>
      <c r="O35" s="38"/>
      <c r="P35" s="38"/>
      <c r="Q35" s="38"/>
      <c r="R35" s="41"/>
      <c r="S35" s="34"/>
    </row>
    <row r="36" spans="2:19" ht="26.45" customHeight="1" thickTop="1" thickBot="1" x14ac:dyDescent="0.3">
      <c r="B36" s="17"/>
      <c r="C36" s="714" t="s">
        <v>385</v>
      </c>
      <c r="D36" s="715"/>
      <c r="E36" s="715"/>
      <c r="F36" s="715"/>
      <c r="G36" s="715"/>
      <c r="H36" s="715"/>
      <c r="I36" s="715"/>
      <c r="J36" s="716"/>
      <c r="K36" s="265"/>
      <c r="L36" s="265"/>
      <c r="M36" s="265"/>
      <c r="N36" s="265"/>
      <c r="O36" s="265"/>
      <c r="P36" s="265"/>
      <c r="Q36" s="266"/>
      <c r="R36" s="272"/>
      <c r="S36" s="272"/>
    </row>
    <row r="37" spans="2:19" ht="16.899999999999999" customHeight="1" thickTop="1" thickBot="1" x14ac:dyDescent="0.3">
      <c r="B37" s="17"/>
      <c r="C37" s="739" t="s">
        <v>311</v>
      </c>
      <c r="D37" s="740"/>
      <c r="E37" s="743" t="s">
        <v>312</v>
      </c>
      <c r="F37" s="743"/>
      <c r="G37" s="743" t="s">
        <v>313</v>
      </c>
      <c r="H37" s="753" t="s">
        <v>352</v>
      </c>
      <c r="I37" s="754"/>
      <c r="J37" s="755"/>
      <c r="K37" s="265"/>
      <c r="L37" s="265"/>
      <c r="M37" s="265"/>
      <c r="N37" s="745" t="s">
        <v>316</v>
      </c>
      <c r="O37" s="747">
        <f>COUNTIF(L39:L45,"YES")</f>
        <v>0</v>
      </c>
      <c r="P37" s="748"/>
      <c r="Q37" s="266"/>
      <c r="R37" s="272"/>
      <c r="S37" s="272"/>
    </row>
    <row r="38" spans="2:19" ht="13.9" customHeight="1" thickBot="1" x14ac:dyDescent="0.3">
      <c r="B38" s="17"/>
      <c r="C38" s="741"/>
      <c r="D38" s="742"/>
      <c r="E38" s="744"/>
      <c r="F38" s="744"/>
      <c r="G38" s="744"/>
      <c r="H38" s="723" t="s">
        <v>353</v>
      </c>
      <c r="I38" s="724"/>
      <c r="J38" s="725"/>
      <c r="K38" s="271"/>
      <c r="L38" s="293" t="s">
        <v>314</v>
      </c>
      <c r="M38" s="265"/>
      <c r="N38" s="746"/>
      <c r="O38" s="749"/>
      <c r="P38" s="750"/>
      <c r="Q38" s="267"/>
      <c r="R38" s="272"/>
      <c r="S38" s="267"/>
    </row>
    <row r="39" spans="2:19" ht="16.5" thickTop="1" thickBot="1" x14ac:dyDescent="0.3">
      <c r="B39" s="17"/>
      <c r="C39" s="737"/>
      <c r="D39" s="738"/>
      <c r="E39" s="735"/>
      <c r="F39" s="736"/>
      <c r="G39" s="317" t="s">
        <v>169</v>
      </c>
      <c r="H39" s="726"/>
      <c r="I39" s="726"/>
      <c r="J39" s="727"/>
      <c r="K39" s="270"/>
      <c r="L39" s="319" t="s">
        <v>169</v>
      </c>
      <c r="M39" s="265"/>
      <c r="N39" s="642"/>
      <c r="O39" s="751"/>
      <c r="P39" s="752"/>
      <c r="Q39" s="268"/>
      <c r="R39" s="272"/>
      <c r="S39" s="269"/>
    </row>
    <row r="40" spans="2:19" x14ac:dyDescent="0.25">
      <c r="B40" s="17"/>
      <c r="C40" s="728"/>
      <c r="D40" s="729"/>
      <c r="E40" s="732"/>
      <c r="F40" s="733"/>
      <c r="G40" s="304" t="s">
        <v>169</v>
      </c>
      <c r="H40" s="710"/>
      <c r="I40" s="710"/>
      <c r="J40" s="711"/>
      <c r="K40" s="270"/>
      <c r="L40" s="320" t="s">
        <v>169</v>
      </c>
      <c r="M40" s="265"/>
      <c r="N40" s="268"/>
      <c r="O40" s="270"/>
      <c r="P40" s="270"/>
      <c r="Q40" s="268"/>
      <c r="R40" s="272"/>
      <c r="S40" s="269"/>
    </row>
    <row r="41" spans="2:19" x14ac:dyDescent="0.25">
      <c r="B41" s="17"/>
      <c r="C41" s="728"/>
      <c r="D41" s="729"/>
      <c r="E41" s="732"/>
      <c r="F41" s="733"/>
      <c r="G41" s="304" t="s">
        <v>169</v>
      </c>
      <c r="H41" s="710"/>
      <c r="I41" s="710"/>
      <c r="J41" s="711"/>
      <c r="K41" s="270"/>
      <c r="L41" s="320" t="s">
        <v>169</v>
      </c>
      <c r="M41" s="265"/>
      <c r="N41" s="268"/>
      <c r="O41" s="270"/>
      <c r="P41" s="270"/>
      <c r="Q41" s="268"/>
      <c r="R41" s="272"/>
      <c r="S41" s="269"/>
    </row>
    <row r="42" spans="2:19" x14ac:dyDescent="0.25">
      <c r="B42" s="17"/>
      <c r="C42" s="728"/>
      <c r="D42" s="729"/>
      <c r="E42" s="732"/>
      <c r="F42" s="733"/>
      <c r="G42" s="304" t="s">
        <v>169</v>
      </c>
      <c r="H42" s="710"/>
      <c r="I42" s="710"/>
      <c r="J42" s="711"/>
      <c r="K42" s="270"/>
      <c r="L42" s="320" t="s">
        <v>169</v>
      </c>
      <c r="M42" s="270"/>
      <c r="N42" s="268"/>
      <c r="O42" s="270"/>
      <c r="P42" s="270"/>
      <c r="Q42" s="268"/>
      <c r="R42" s="272"/>
      <c r="S42" s="269"/>
    </row>
    <row r="43" spans="2:19" x14ac:dyDescent="0.25">
      <c r="B43" s="17"/>
      <c r="C43" s="728"/>
      <c r="D43" s="729"/>
      <c r="E43" s="732"/>
      <c r="F43" s="733"/>
      <c r="G43" s="304" t="s">
        <v>169</v>
      </c>
      <c r="H43" s="710"/>
      <c r="I43" s="710"/>
      <c r="J43" s="711"/>
      <c r="K43" s="270"/>
      <c r="L43" s="320" t="s">
        <v>169</v>
      </c>
      <c r="M43" s="270"/>
      <c r="N43" s="268"/>
      <c r="O43" s="270"/>
      <c r="P43" s="270"/>
      <c r="Q43" s="268"/>
      <c r="R43" s="272"/>
      <c r="S43" s="269"/>
    </row>
    <row r="44" spans="2:19" x14ac:dyDescent="0.25">
      <c r="B44" s="17"/>
      <c r="C44" s="728"/>
      <c r="D44" s="729"/>
      <c r="E44" s="732"/>
      <c r="F44" s="733"/>
      <c r="G44" s="304" t="s">
        <v>169</v>
      </c>
      <c r="H44" s="710"/>
      <c r="I44" s="710"/>
      <c r="J44" s="711"/>
      <c r="K44" s="270"/>
      <c r="L44" s="320" t="s">
        <v>169</v>
      </c>
      <c r="M44" s="270"/>
      <c r="N44" s="268"/>
      <c r="O44" s="270"/>
      <c r="P44" s="270"/>
      <c r="Q44" s="268"/>
      <c r="R44" s="272"/>
      <c r="S44" s="269"/>
    </row>
    <row r="45" spans="2:19" ht="15.75" thickBot="1" x14ac:dyDescent="0.3">
      <c r="B45" s="17"/>
      <c r="C45" s="730"/>
      <c r="D45" s="731"/>
      <c r="E45" s="615"/>
      <c r="F45" s="734"/>
      <c r="G45" s="318" t="s">
        <v>169</v>
      </c>
      <c r="H45" s="712"/>
      <c r="I45" s="712"/>
      <c r="J45" s="713"/>
      <c r="K45" s="270"/>
      <c r="L45" s="321" t="s">
        <v>169</v>
      </c>
      <c r="M45" s="270"/>
      <c r="N45" s="268"/>
      <c r="O45" s="270"/>
      <c r="P45" s="270"/>
      <c r="Q45" s="268"/>
      <c r="R45" s="272"/>
      <c r="S45" s="269"/>
    </row>
    <row r="46" spans="2:19" ht="6" customHeight="1" thickTop="1" x14ac:dyDescent="0.25">
      <c r="B46" s="17"/>
      <c r="C46" s="275"/>
      <c r="D46" s="276"/>
      <c r="E46" s="277"/>
      <c r="F46" s="277"/>
      <c r="G46" s="278"/>
      <c r="H46" s="278"/>
      <c r="I46" s="273"/>
      <c r="J46" s="270"/>
      <c r="K46" s="270"/>
      <c r="L46" s="270"/>
      <c r="M46" s="270"/>
      <c r="N46" s="268"/>
      <c r="O46" s="270"/>
      <c r="P46" s="270"/>
      <c r="Q46" s="268"/>
      <c r="R46" s="272"/>
      <c r="S46" s="269"/>
    </row>
    <row r="47" spans="2:19" s="13" customFormat="1" ht="6" customHeight="1" x14ac:dyDescent="0.25">
      <c r="B47" s="34"/>
      <c r="C47" s="282"/>
      <c r="D47" s="757"/>
      <c r="E47" s="757"/>
      <c r="F47" s="757"/>
      <c r="G47" s="757"/>
      <c r="H47" s="757"/>
      <c r="I47" s="757"/>
      <c r="J47" s="757"/>
      <c r="K47" s="757"/>
      <c r="L47" s="757"/>
      <c r="M47" s="757"/>
      <c r="N47" s="757"/>
      <c r="O47" s="757"/>
      <c r="P47" s="757"/>
      <c r="Q47" s="38"/>
      <c r="R47" s="283"/>
      <c r="S47" s="34"/>
    </row>
    <row r="48" spans="2:19" ht="9" customHeight="1" x14ac:dyDescent="0.25">
      <c r="B48"/>
      <c r="C48"/>
      <c r="D48" s="112"/>
      <c r="E48" s="112"/>
      <c r="F48" s="112"/>
      <c r="G48" s="112"/>
      <c r="H48" s="112"/>
      <c r="I48" s="112"/>
      <c r="J48" s="112"/>
      <c r="K48" s="112"/>
      <c r="L48" s="112"/>
      <c r="M48" s="112"/>
      <c r="N48" s="112"/>
      <c r="O48" s="112"/>
      <c r="P48" s="112"/>
      <c r="Q48" s="112"/>
      <c r="R48" s="272"/>
      <c r="S48"/>
    </row>
    <row r="49" spans="2:24" ht="29.45" customHeight="1" x14ac:dyDescent="0.25">
      <c r="B49"/>
      <c r="C49" s="529" t="s">
        <v>416</v>
      </c>
      <c r="D49" s="529"/>
      <c r="E49" s="529"/>
      <c r="F49" s="113"/>
      <c r="G49" s="539"/>
      <c r="H49" s="758"/>
      <c r="I49" s="758"/>
      <c r="J49" s="758"/>
      <c r="K49" s="758"/>
      <c r="L49" s="540"/>
      <c r="M49" s="113"/>
      <c r="N49" s="114"/>
      <c r="O49" s="113"/>
      <c r="P49" s="533"/>
      <c r="Q49" s="533"/>
      <c r="R49" s="41"/>
      <c r="S49"/>
    </row>
    <row r="50" spans="2:24" ht="6.6" customHeight="1" x14ac:dyDescent="0.25">
      <c r="B50"/>
      <c r="C50"/>
      <c r="D50"/>
      <c r="E50"/>
      <c r="F50"/>
      <c r="G50"/>
      <c r="H50"/>
      <c r="I50"/>
      <c r="J50"/>
      <c r="K50"/>
      <c r="L50"/>
      <c r="M50"/>
      <c r="N50"/>
      <c r="O50"/>
      <c r="P50"/>
      <c r="Q50"/>
      <c r="R50" s="41"/>
      <c r="S50"/>
    </row>
    <row r="51" spans="2:24" ht="28.9" customHeight="1" x14ac:dyDescent="0.25">
      <c r="B51"/>
      <c r="C51" s="529" t="s">
        <v>392</v>
      </c>
      <c r="D51" s="529"/>
      <c r="E51" s="529"/>
      <c r="F51" s="113"/>
      <c r="G51" s="530"/>
      <c r="H51" s="531"/>
      <c r="I51" s="531"/>
      <c r="J51" s="531"/>
      <c r="K51" s="531"/>
      <c r="L51" s="532"/>
      <c r="M51" s="113"/>
      <c r="N51" s="114" t="s">
        <v>51</v>
      </c>
      <c r="O51" s="113"/>
      <c r="P51" s="530"/>
      <c r="Q51" s="532"/>
      <c r="R51" s="41"/>
      <c r="S51"/>
    </row>
    <row r="52" spans="2:24" ht="13.9" customHeight="1" x14ac:dyDescent="0.25">
      <c r="B52"/>
      <c r="C52"/>
      <c r="D52"/>
      <c r="E52"/>
      <c r="F52"/>
      <c r="G52"/>
      <c r="H52"/>
      <c r="I52"/>
      <c r="J52"/>
      <c r="K52"/>
      <c r="L52"/>
      <c r="M52"/>
      <c r="N52"/>
      <c r="O52"/>
      <c r="P52"/>
      <c r="Q52"/>
      <c r="R52" s="41"/>
      <c r="S52"/>
    </row>
    <row r="53" spans="2:24" x14ac:dyDescent="0.25">
      <c r="B53"/>
      <c r="C53" s="51"/>
      <c r="D53" s="407" t="s">
        <v>325</v>
      </c>
      <c r="E53" s="407"/>
      <c r="F53" s="407"/>
      <c r="G53" s="407"/>
      <c r="H53" s="407"/>
      <c r="I53" s="407"/>
      <c r="J53" s="407"/>
      <c r="K53" s="407"/>
      <c r="L53" s="407"/>
      <c r="M53" s="407"/>
      <c r="N53" s="407"/>
      <c r="O53" s="407"/>
      <c r="P53" s="407"/>
      <c r="Q53" s="407"/>
      <c r="R53" s="52"/>
      <c r="S53" s="52"/>
      <c r="T53" s="16"/>
      <c r="U53" s="16"/>
      <c r="V53" s="16"/>
      <c r="W53" s="15"/>
      <c r="X53" s="15"/>
    </row>
    <row r="54" spans="2:24" x14ac:dyDescent="0.25">
      <c r="B54"/>
      <c r="C54" s="408"/>
      <c r="D54" s="408"/>
      <c r="E54" s="408"/>
      <c r="F54" s="408"/>
      <c r="G54" s="408"/>
      <c r="H54" s="408"/>
      <c r="I54" s="408"/>
      <c r="J54" s="408"/>
      <c r="K54" s="408"/>
      <c r="L54" s="408"/>
      <c r="M54" s="408"/>
      <c r="N54" s="408"/>
      <c r="O54" s="408"/>
      <c r="P54" s="408"/>
      <c r="Q54" s="408"/>
      <c r="R54" s="408"/>
      <c r="S54" s="52"/>
      <c r="T54" s="16"/>
      <c r="U54" s="16"/>
      <c r="V54" s="16"/>
    </row>
    <row r="55" spans="2:24" x14ac:dyDescent="0.25">
      <c r="B55"/>
      <c r="C55" s="393"/>
      <c r="D55" s="393"/>
      <c r="E55" s="393"/>
      <c r="F55" s="393"/>
      <c r="G55" s="393"/>
      <c r="H55" s="393"/>
      <c r="I55" s="393"/>
      <c r="J55" s="393"/>
      <c r="K55" s="393"/>
      <c r="L55" s="393"/>
      <c r="M55" s="393"/>
      <c r="N55" s="393"/>
      <c r="O55" s="393"/>
      <c r="P55" s="393"/>
      <c r="Q55" s="393"/>
      <c r="R55" s="393"/>
      <c r="S55" s="52"/>
      <c r="T55" s="16"/>
      <c r="U55" s="16"/>
      <c r="V55" s="16"/>
    </row>
    <row r="56" spans="2:24" x14ac:dyDescent="0.25">
      <c r="S56" s="16"/>
      <c r="T56" s="16"/>
      <c r="U56" s="16"/>
      <c r="V56" s="16"/>
    </row>
    <row r="57" spans="2:24" x14ac:dyDescent="0.25">
      <c r="C57" s="426"/>
      <c r="D57" s="426"/>
      <c r="E57" s="426"/>
      <c r="F57" s="426"/>
      <c r="G57" s="426"/>
      <c r="H57" s="426"/>
      <c r="I57" s="426"/>
      <c r="J57" s="426"/>
      <c r="K57" s="426"/>
      <c r="L57" s="426"/>
      <c r="M57" s="426"/>
      <c r="N57" s="426"/>
      <c r="O57" s="426"/>
      <c r="P57" s="426"/>
      <c r="Q57" s="426"/>
      <c r="R57" s="426"/>
    </row>
  </sheetData>
  <sheetProtection algorithmName="SHA-512" hashValue="pSnRr/cbElYWf+l8UXKCMu5WL7XgIXt9TaIBEkkSbtNsSQofhzdk5vWolSyHuGvaIB6O9l70QqjWo72FhLk7rw==" saltValue="xbY7G8CwgpEVgZUPD10YAA==" spinCount="100000" sheet="1" selectLockedCells="1"/>
  <mergeCells count="72">
    <mergeCell ref="C3:E3"/>
    <mergeCell ref="G3:N3"/>
    <mergeCell ref="P3:R3"/>
    <mergeCell ref="C4:E6"/>
    <mergeCell ref="G4:N4"/>
    <mergeCell ref="P4:R4"/>
    <mergeCell ref="G5:N5"/>
    <mergeCell ref="P5:R6"/>
    <mergeCell ref="G6:N6"/>
    <mergeCell ref="G7:N7"/>
    <mergeCell ref="P7:R7"/>
    <mergeCell ref="C10:R10"/>
    <mergeCell ref="C12:D12"/>
    <mergeCell ref="E12:H12"/>
    <mergeCell ref="Q12:R12"/>
    <mergeCell ref="Q14:R14"/>
    <mergeCell ref="C16:D16"/>
    <mergeCell ref="E16:J16"/>
    <mergeCell ref="N16:R16"/>
    <mergeCell ref="C18:R18"/>
    <mergeCell ref="O37:P39"/>
    <mergeCell ref="H38:J38"/>
    <mergeCell ref="C39:D39"/>
    <mergeCell ref="D29:P29"/>
    <mergeCell ref="C14:D14"/>
    <mergeCell ref="E14:J14"/>
    <mergeCell ref="L14:M14"/>
    <mergeCell ref="C21:R21"/>
    <mergeCell ref="D23:E23"/>
    <mergeCell ref="D25:P25"/>
    <mergeCell ref="C27:R27"/>
    <mergeCell ref="C37:D38"/>
    <mergeCell ref="E37:F38"/>
    <mergeCell ref="G37:G38"/>
    <mergeCell ref="H37:J37"/>
    <mergeCell ref="N37:N39"/>
    <mergeCell ref="C31:R31"/>
    <mergeCell ref="C33:E33"/>
    <mergeCell ref="H33:O33"/>
    <mergeCell ref="D34:P34"/>
    <mergeCell ref="C36:J36"/>
    <mergeCell ref="E39:F39"/>
    <mergeCell ref="H39:J39"/>
    <mergeCell ref="C41:D41"/>
    <mergeCell ref="E41:F41"/>
    <mergeCell ref="H41:J41"/>
    <mergeCell ref="C40:D40"/>
    <mergeCell ref="E40:F40"/>
    <mergeCell ref="H40:J40"/>
    <mergeCell ref="C42:D42"/>
    <mergeCell ref="E42:F42"/>
    <mergeCell ref="H42:J42"/>
    <mergeCell ref="C43:D43"/>
    <mergeCell ref="E43:F43"/>
    <mergeCell ref="H43:J43"/>
    <mergeCell ref="C44:D44"/>
    <mergeCell ref="E44:F44"/>
    <mergeCell ref="H44:J44"/>
    <mergeCell ref="C45:D45"/>
    <mergeCell ref="E45:F45"/>
    <mergeCell ref="H45:J45"/>
    <mergeCell ref="D47:P47"/>
    <mergeCell ref="C49:E49"/>
    <mergeCell ref="G49:L49"/>
    <mergeCell ref="P49:Q49"/>
    <mergeCell ref="C57:R57"/>
    <mergeCell ref="C51:E51"/>
    <mergeCell ref="G51:L51"/>
    <mergeCell ref="P51:Q51"/>
    <mergeCell ref="D53:Q53"/>
    <mergeCell ref="C54:R54"/>
    <mergeCell ref="C55:R55"/>
  </mergeCells>
  <dataValidations count="2">
    <dataValidation type="list" allowBlank="1" showInputMessage="1" showErrorMessage="1" sqref="L39:L45" xr:uid="{415A36D1-55EF-4267-B5C3-D5E309CCB61A}">
      <formula1>"SELECT,YES,No"</formula1>
    </dataValidation>
    <dataValidation type="list" allowBlank="1" showInputMessage="1" showErrorMessage="1" sqref="G39:G45" xr:uid="{167AA6CB-A7A7-447C-AC3B-19B77A6CCBFD}">
      <formula1>"SELECT,Qualified Vacant,Displaced Occupant,LIHC Occupant,Displaced Vacant,OTHER"</formula1>
    </dataValidation>
  </dataValidations>
  <printOptions horizontalCentered="1"/>
  <pageMargins left="0.25" right="0.25" top="0.5" bottom="0.5" header="0.3" footer="0.3"/>
  <pageSetup scale="78" orientation="portrait" r:id="rId1"/>
  <headerFooter>
    <oddFooter>&amp;RMHC Rev. 03/2025</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7E16F9F-3850-45DF-BD0C-8C368EF3DB12}">
          <x14:formula1>
            <xm:f>CODES!$C$5:$C$10</xm:f>
          </x14:formula1>
          <xm:sqref>S39:S46</xm:sqref>
        </x14:dataValidation>
        <x14:dataValidation type="list" allowBlank="1" showInputMessage="1" showErrorMessage="1" xr:uid="{AFC53B6C-FE66-4CD3-B0BC-CD1FE32A38BA}">
          <x14:formula1>
            <xm:f>CODES!$A$5:$A$8</xm:f>
          </x14:formula1>
          <xm:sqref>Q39:Q46 K39:K46 J46 O40:P46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theme="3" tint="0.249977111117893"/>
  </sheetPr>
  <dimension ref="B1:M49"/>
  <sheetViews>
    <sheetView showGridLines="0" zoomScaleNormal="100" workbookViewId="0">
      <selection activeCell="C22" sqref="C22:L33"/>
    </sheetView>
  </sheetViews>
  <sheetFormatPr defaultColWidth="8.85546875" defaultRowHeight="15" x14ac:dyDescent="0.25"/>
  <cols>
    <col min="1" max="1" width="60.7109375" style="3" customWidth="1"/>
    <col min="2" max="2" width="3.7109375" style="3" customWidth="1"/>
    <col min="3" max="4" width="8.85546875" style="3"/>
    <col min="5" max="5" width="4.85546875" style="3" customWidth="1"/>
    <col min="6" max="8" width="8.85546875" style="3"/>
    <col min="9" max="9" width="15.85546875" style="3" customWidth="1"/>
    <col min="10" max="10" width="8.85546875" style="3"/>
    <col min="11" max="11" width="10.7109375" style="3" customWidth="1"/>
    <col min="12" max="12" width="8.85546875" style="3"/>
    <col min="13" max="13" width="3.7109375" style="3" customWidth="1"/>
    <col min="14" max="16384" width="8.85546875" style="3"/>
  </cols>
  <sheetData>
    <row r="1" spans="2:13" ht="26.25" customHeight="1" x14ac:dyDescent="0.25"/>
    <row r="2" spans="2:13" x14ac:dyDescent="0.25">
      <c r="B2"/>
      <c r="C2"/>
      <c r="D2"/>
      <c r="E2"/>
      <c r="F2"/>
      <c r="G2"/>
      <c r="H2"/>
      <c r="I2"/>
      <c r="J2"/>
      <c r="K2"/>
      <c r="L2"/>
      <c r="M2"/>
    </row>
    <row r="3" spans="2:13" ht="14.45" customHeight="1" x14ac:dyDescent="0.25">
      <c r="B3"/>
      <c r="C3" s="767" t="s">
        <v>196</v>
      </c>
      <c r="D3" s="767"/>
      <c r="E3" s="767"/>
      <c r="F3" s="767"/>
      <c r="G3" s="767"/>
      <c r="H3" s="767"/>
      <c r="I3" s="767"/>
      <c r="J3" s="767"/>
      <c r="K3" s="767"/>
      <c r="L3" s="767"/>
      <c r="M3"/>
    </row>
    <row r="4" spans="2:13" ht="14.45" customHeight="1" x14ac:dyDescent="0.25">
      <c r="B4"/>
      <c r="C4" s="767"/>
      <c r="D4" s="767"/>
      <c r="E4" s="767"/>
      <c r="F4" s="767"/>
      <c r="G4" s="767"/>
      <c r="H4" s="767"/>
      <c r="I4" s="767"/>
      <c r="J4" s="767"/>
      <c r="K4" s="767"/>
      <c r="L4" s="767"/>
      <c r="M4"/>
    </row>
    <row r="5" spans="2:13" ht="14.45" customHeight="1" x14ac:dyDescent="0.25">
      <c r="B5"/>
      <c r="C5" s="176"/>
      <c r="D5" s="176"/>
      <c r="E5" s="176"/>
      <c r="F5" s="176"/>
      <c r="G5" s="176"/>
      <c r="H5" s="176"/>
      <c r="I5" s="176"/>
      <c r="J5" s="176"/>
      <c r="K5" s="176"/>
      <c r="L5" s="176"/>
      <c r="M5"/>
    </row>
    <row r="6" spans="2:13" ht="14.45" customHeight="1" x14ac:dyDescent="0.25">
      <c r="B6" s="769" t="s">
        <v>197</v>
      </c>
      <c r="C6" s="769"/>
      <c r="D6" s="769"/>
      <c r="E6" s="769"/>
      <c r="F6" s="769"/>
      <c r="G6" s="769"/>
      <c r="H6" s="769"/>
      <c r="I6" s="769"/>
      <c r="J6" s="769"/>
      <c r="K6" s="769"/>
      <c r="L6" s="769"/>
      <c r="M6" s="769"/>
    </row>
    <row r="7" spans="2:13" ht="14.45" customHeight="1" x14ac:dyDescent="0.25">
      <c r="B7" s="769"/>
      <c r="C7" s="769"/>
      <c r="D7" s="769"/>
      <c r="E7" s="769"/>
      <c r="F7" s="769"/>
      <c r="G7" s="769"/>
      <c r="H7" s="769"/>
      <c r="I7" s="769"/>
      <c r="J7" s="769"/>
      <c r="K7" s="769"/>
      <c r="L7" s="769"/>
      <c r="M7" s="769"/>
    </row>
    <row r="8" spans="2:13" ht="14.45" customHeight="1" x14ac:dyDescent="0.25">
      <c r="B8" s="769"/>
      <c r="C8" s="769"/>
      <c r="D8" s="769"/>
      <c r="E8" s="769"/>
      <c r="F8" s="769"/>
      <c r="G8" s="769"/>
      <c r="H8" s="769"/>
      <c r="I8" s="769"/>
      <c r="J8" s="769"/>
      <c r="K8" s="769"/>
      <c r="L8" s="769"/>
      <c r="M8" s="769"/>
    </row>
    <row r="9" spans="2:13" ht="14.45" customHeight="1" x14ac:dyDescent="0.25">
      <c r="B9" s="769"/>
      <c r="C9" s="769"/>
      <c r="D9" s="769"/>
      <c r="E9" s="769"/>
      <c r="F9" s="769"/>
      <c r="G9" s="769"/>
      <c r="H9" s="769"/>
      <c r="I9" s="769"/>
      <c r="J9" s="769"/>
      <c r="K9" s="769"/>
      <c r="L9" s="769"/>
      <c r="M9" s="769"/>
    </row>
    <row r="10" spans="2:13" ht="14.45" customHeight="1" x14ac:dyDescent="0.25">
      <c r="B10" s="769"/>
      <c r="C10" s="769"/>
      <c r="D10" s="769"/>
      <c r="E10" s="769"/>
      <c r="F10" s="769"/>
      <c r="G10" s="769"/>
      <c r="H10" s="769"/>
      <c r="I10" s="769"/>
      <c r="J10" s="769"/>
      <c r="K10" s="769"/>
      <c r="L10" s="769"/>
      <c r="M10" s="769"/>
    </row>
    <row r="11" spans="2:13" ht="31.9" customHeight="1" x14ac:dyDescent="0.25">
      <c r="B11" s="770" t="s">
        <v>198</v>
      </c>
      <c r="C11" s="770"/>
      <c r="D11" s="770"/>
      <c r="E11" s="770"/>
      <c r="F11" s="770"/>
      <c r="G11" s="770"/>
      <c r="H11" s="770"/>
      <c r="I11" s="770"/>
      <c r="J11" s="770"/>
      <c r="K11" s="770"/>
      <c r="L11" s="770"/>
      <c r="M11" s="770"/>
    </row>
    <row r="12" spans="2:13" ht="14.45" customHeight="1" x14ac:dyDescent="0.25">
      <c r="B12" s="770"/>
      <c r="C12" s="770"/>
      <c r="D12" s="770"/>
      <c r="E12" s="770"/>
      <c r="F12" s="770"/>
      <c r="G12" s="770"/>
      <c r="H12" s="770"/>
      <c r="I12" s="770"/>
      <c r="J12" s="770"/>
      <c r="K12" s="770"/>
      <c r="L12" s="770"/>
      <c r="M12" s="770"/>
    </row>
    <row r="13" spans="2:13" ht="14.45" customHeight="1" x14ac:dyDescent="0.25">
      <c r="B13" s="770"/>
      <c r="C13" s="770"/>
      <c r="D13" s="770"/>
      <c r="E13" s="770"/>
      <c r="F13" s="770"/>
      <c r="G13" s="770"/>
      <c r="H13" s="770"/>
      <c r="I13" s="770"/>
      <c r="J13" s="770"/>
      <c r="K13" s="770"/>
      <c r="L13" s="770"/>
      <c r="M13" s="770"/>
    </row>
    <row r="14" spans="2:13" ht="14.45" customHeight="1" x14ac:dyDescent="0.25">
      <c r="B14" s="770"/>
      <c r="C14" s="770"/>
      <c r="D14" s="770"/>
      <c r="E14" s="770"/>
      <c r="F14" s="770"/>
      <c r="G14" s="770"/>
      <c r="H14" s="770"/>
      <c r="I14" s="770"/>
      <c r="J14" s="770"/>
      <c r="K14" s="770"/>
      <c r="L14" s="770"/>
      <c r="M14" s="770"/>
    </row>
    <row r="15" spans="2:13" ht="14.45" customHeight="1" x14ac:dyDescent="0.25">
      <c r="B15" s="770"/>
      <c r="C15" s="770"/>
      <c r="D15" s="770"/>
      <c r="E15" s="770"/>
      <c r="F15" s="770"/>
      <c r="G15" s="770"/>
      <c r="H15" s="770"/>
      <c r="I15" s="770"/>
      <c r="J15" s="770"/>
      <c r="K15" s="770"/>
      <c r="L15" s="770"/>
      <c r="M15" s="770"/>
    </row>
    <row r="16" spans="2:13" ht="14.45" customHeight="1" x14ac:dyDescent="0.25">
      <c r="B16" s="770"/>
      <c r="C16" s="770"/>
      <c r="D16" s="770"/>
      <c r="E16" s="770"/>
      <c r="F16" s="770"/>
      <c r="G16" s="770"/>
      <c r="H16" s="770"/>
      <c r="I16" s="770"/>
      <c r="J16" s="770"/>
      <c r="K16" s="770"/>
      <c r="L16" s="770"/>
      <c r="M16" s="770"/>
    </row>
    <row r="17" spans="2:13" ht="14.45" customHeight="1" x14ac:dyDescent="0.25">
      <c r="B17" s="770"/>
      <c r="C17" s="770"/>
      <c r="D17" s="770"/>
      <c r="E17" s="770"/>
      <c r="F17" s="770"/>
      <c r="G17" s="770"/>
      <c r="H17" s="770"/>
      <c r="I17" s="770"/>
      <c r="J17" s="770"/>
      <c r="K17" s="770"/>
      <c r="L17" s="770"/>
      <c r="M17" s="770"/>
    </row>
    <row r="18" spans="2:13" ht="14.45" customHeight="1" x14ac:dyDescent="0.25">
      <c r="B18" s="770"/>
      <c r="C18" s="770"/>
      <c r="D18" s="770"/>
      <c r="E18" s="770"/>
      <c r="F18" s="770"/>
      <c r="G18" s="770"/>
      <c r="H18" s="770"/>
      <c r="I18" s="770"/>
      <c r="J18" s="770"/>
      <c r="K18" s="770"/>
      <c r="L18" s="770"/>
      <c r="M18" s="770"/>
    </row>
    <row r="19" spans="2:13" ht="14.45" customHeight="1" x14ac:dyDescent="0.25">
      <c r="B19" s="770"/>
      <c r="C19" s="770"/>
      <c r="D19" s="770"/>
      <c r="E19" s="770"/>
      <c r="F19" s="770"/>
      <c r="G19" s="770"/>
      <c r="H19" s="770"/>
      <c r="I19" s="770"/>
      <c r="J19" s="770"/>
      <c r="K19" s="770"/>
      <c r="L19" s="770"/>
      <c r="M19" s="770"/>
    </row>
    <row r="20" spans="2:13" ht="14.45" customHeight="1" x14ac:dyDescent="0.7">
      <c r="B20"/>
      <c r="C20" s="177"/>
      <c r="D20" s="177"/>
      <c r="E20" s="177"/>
      <c r="F20" s="177"/>
      <c r="G20" s="177"/>
      <c r="H20" s="177"/>
      <c r="I20" s="177"/>
      <c r="J20" s="177"/>
      <c r="K20" s="177"/>
      <c r="L20" s="177"/>
      <c r="M20"/>
    </row>
    <row r="21" spans="2:13" ht="14.45" customHeight="1" x14ac:dyDescent="0.7">
      <c r="B21" s="178"/>
      <c r="C21" s="179"/>
      <c r="D21" s="179"/>
      <c r="E21" s="179"/>
      <c r="F21" s="179"/>
      <c r="G21" s="179"/>
      <c r="H21" s="179"/>
      <c r="I21" s="179"/>
      <c r="J21" s="179"/>
      <c r="K21" s="179"/>
      <c r="L21" s="179"/>
      <c r="M21" s="178"/>
    </row>
    <row r="22" spans="2:13" ht="14.45" customHeight="1" x14ac:dyDescent="0.25">
      <c r="B22" s="178"/>
      <c r="C22" s="766" t="s">
        <v>199</v>
      </c>
      <c r="D22" s="766"/>
      <c r="E22" s="766"/>
      <c r="F22" s="766"/>
      <c r="G22" s="766"/>
      <c r="H22" s="766"/>
      <c r="I22" s="766"/>
      <c r="J22" s="766"/>
      <c r="K22" s="766"/>
      <c r="L22" s="766"/>
      <c r="M22" s="178"/>
    </row>
    <row r="23" spans="2:13" ht="14.45" customHeight="1" x14ac:dyDescent="0.25">
      <c r="B23" s="178"/>
      <c r="C23" s="766"/>
      <c r="D23" s="766"/>
      <c r="E23" s="766"/>
      <c r="F23" s="766"/>
      <c r="G23" s="766"/>
      <c r="H23" s="766"/>
      <c r="I23" s="766"/>
      <c r="J23" s="766"/>
      <c r="K23" s="766"/>
      <c r="L23" s="766"/>
      <c r="M23" s="178"/>
    </row>
    <row r="24" spans="2:13" ht="14.45" customHeight="1" x14ac:dyDescent="0.25">
      <c r="B24" s="178"/>
      <c r="C24" s="766"/>
      <c r="D24" s="766"/>
      <c r="E24" s="766"/>
      <c r="F24" s="766"/>
      <c r="G24" s="766"/>
      <c r="H24" s="766"/>
      <c r="I24" s="766"/>
      <c r="J24" s="766"/>
      <c r="K24" s="766"/>
      <c r="L24" s="766"/>
      <c r="M24" s="178"/>
    </row>
    <row r="25" spans="2:13" ht="14.45" customHeight="1" x14ac:dyDescent="0.25">
      <c r="B25" s="178"/>
      <c r="C25" s="766"/>
      <c r="D25" s="766"/>
      <c r="E25" s="766"/>
      <c r="F25" s="766"/>
      <c r="G25" s="766"/>
      <c r="H25" s="766"/>
      <c r="I25" s="766"/>
      <c r="J25" s="766"/>
      <c r="K25" s="766"/>
      <c r="L25" s="766"/>
      <c r="M25" s="178"/>
    </row>
    <row r="26" spans="2:13" ht="14.45" customHeight="1" x14ac:dyDescent="0.25">
      <c r="B26" s="178"/>
      <c r="C26" s="766"/>
      <c r="D26" s="766"/>
      <c r="E26" s="766"/>
      <c r="F26" s="766"/>
      <c r="G26" s="766"/>
      <c r="H26" s="766"/>
      <c r="I26" s="766"/>
      <c r="J26" s="766"/>
      <c r="K26" s="766"/>
      <c r="L26" s="766"/>
      <c r="M26" s="178"/>
    </row>
    <row r="27" spans="2:13" ht="14.45" customHeight="1" x14ac:dyDescent="0.25">
      <c r="B27" s="178"/>
      <c r="C27" s="766"/>
      <c r="D27" s="766"/>
      <c r="E27" s="766"/>
      <c r="F27" s="766"/>
      <c r="G27" s="766"/>
      <c r="H27" s="766"/>
      <c r="I27" s="766"/>
      <c r="J27" s="766"/>
      <c r="K27" s="766"/>
      <c r="L27" s="766"/>
      <c r="M27" s="178"/>
    </row>
    <row r="28" spans="2:13" ht="14.45" customHeight="1" x14ac:dyDescent="0.25">
      <c r="B28" s="178"/>
      <c r="C28" s="766"/>
      <c r="D28" s="766"/>
      <c r="E28" s="766"/>
      <c r="F28" s="766"/>
      <c r="G28" s="766"/>
      <c r="H28" s="766"/>
      <c r="I28" s="766"/>
      <c r="J28" s="766"/>
      <c r="K28" s="766"/>
      <c r="L28" s="766"/>
      <c r="M28" s="178"/>
    </row>
    <row r="29" spans="2:13" ht="14.45" customHeight="1" x14ac:dyDescent="0.25">
      <c r="B29" s="178"/>
      <c r="C29" s="766"/>
      <c r="D29" s="766"/>
      <c r="E29" s="766"/>
      <c r="F29" s="766"/>
      <c r="G29" s="766"/>
      <c r="H29" s="766"/>
      <c r="I29" s="766"/>
      <c r="J29" s="766"/>
      <c r="K29" s="766"/>
      <c r="L29" s="766"/>
      <c r="M29" s="178"/>
    </row>
    <row r="30" spans="2:13" ht="14.45" customHeight="1" x14ac:dyDescent="0.25">
      <c r="B30" s="178"/>
      <c r="C30" s="766"/>
      <c r="D30" s="766"/>
      <c r="E30" s="766"/>
      <c r="F30" s="766"/>
      <c r="G30" s="766"/>
      <c r="H30" s="766"/>
      <c r="I30" s="766"/>
      <c r="J30" s="766"/>
      <c r="K30" s="766"/>
      <c r="L30" s="766"/>
      <c r="M30" s="178"/>
    </row>
    <row r="31" spans="2:13" ht="14.45" customHeight="1" x14ac:dyDescent="0.25">
      <c r="B31" s="178"/>
      <c r="C31" s="766"/>
      <c r="D31" s="766"/>
      <c r="E31" s="766"/>
      <c r="F31" s="766"/>
      <c r="G31" s="766"/>
      <c r="H31" s="766"/>
      <c r="I31" s="766"/>
      <c r="J31" s="766"/>
      <c r="K31" s="766"/>
      <c r="L31" s="766"/>
      <c r="M31" s="178"/>
    </row>
    <row r="32" spans="2:13" ht="14.45" customHeight="1" x14ac:dyDescent="0.25">
      <c r="B32" s="178"/>
      <c r="C32" s="766"/>
      <c r="D32" s="766"/>
      <c r="E32" s="766"/>
      <c r="F32" s="766"/>
      <c r="G32" s="766"/>
      <c r="H32" s="766"/>
      <c r="I32" s="766"/>
      <c r="J32" s="766"/>
      <c r="K32" s="766"/>
      <c r="L32" s="766"/>
      <c r="M32" s="178"/>
    </row>
    <row r="33" spans="2:13" ht="14.45" customHeight="1" x14ac:dyDescent="0.25">
      <c r="B33" s="178"/>
      <c r="C33" s="766"/>
      <c r="D33" s="766"/>
      <c r="E33" s="766"/>
      <c r="F33" s="766"/>
      <c r="G33" s="766"/>
      <c r="H33" s="766"/>
      <c r="I33" s="766"/>
      <c r="J33" s="766"/>
      <c r="K33" s="766"/>
      <c r="L33" s="766"/>
      <c r="M33" s="178"/>
    </row>
    <row r="34" spans="2:13" ht="14.45" customHeight="1" x14ac:dyDescent="0.25">
      <c r="B34" s="768"/>
      <c r="C34" s="768"/>
      <c r="D34" s="768"/>
      <c r="E34" s="768"/>
      <c r="F34" s="768"/>
      <c r="G34" s="768"/>
      <c r="H34" s="768"/>
      <c r="I34" s="768"/>
      <c r="J34" s="768"/>
      <c r="K34" s="768"/>
      <c r="L34" s="768"/>
      <c r="M34" s="768"/>
    </row>
    <row r="35" spans="2:13" ht="14.45" customHeight="1" x14ac:dyDescent="0.25">
      <c r="B35" s="768"/>
      <c r="C35" s="768"/>
      <c r="D35" s="768"/>
      <c r="E35" s="768"/>
      <c r="F35" s="768"/>
      <c r="G35" s="768"/>
      <c r="H35" s="768"/>
      <c r="I35" s="768"/>
      <c r="J35" s="768"/>
      <c r="K35" s="768"/>
      <c r="L35" s="768"/>
      <c r="M35" s="768"/>
    </row>
    <row r="36" spans="2:13" ht="14.45" customHeight="1" x14ac:dyDescent="0.25">
      <c r="B36" s="768"/>
      <c r="C36" s="768"/>
      <c r="D36" s="768"/>
      <c r="E36" s="768"/>
      <c r="F36" s="768"/>
      <c r="G36" s="768"/>
      <c r="H36" s="768"/>
      <c r="I36" s="768"/>
      <c r="J36" s="768"/>
      <c r="K36" s="768"/>
      <c r="L36" s="768"/>
      <c r="M36" s="768"/>
    </row>
    <row r="37" spans="2:13" ht="14.45" customHeight="1" x14ac:dyDescent="0.25">
      <c r="B37" s="768"/>
      <c r="C37" s="768"/>
      <c r="D37" s="768"/>
      <c r="E37" s="768"/>
      <c r="F37" s="768"/>
      <c r="G37" s="768"/>
      <c r="H37" s="768"/>
      <c r="I37" s="768"/>
      <c r="J37" s="768"/>
      <c r="K37" s="768"/>
      <c r="L37" s="768"/>
      <c r="M37" s="768"/>
    </row>
    <row r="38" spans="2:13" ht="14.45" customHeight="1" x14ac:dyDescent="0.25">
      <c r="B38" s="768"/>
      <c r="C38" s="768"/>
      <c r="D38" s="768"/>
      <c r="E38" s="768"/>
      <c r="F38" s="768"/>
      <c r="G38" s="768"/>
      <c r="H38" s="768"/>
      <c r="I38" s="768"/>
      <c r="J38" s="768"/>
      <c r="K38" s="768"/>
      <c r="L38" s="768"/>
      <c r="M38" s="768"/>
    </row>
    <row r="39" spans="2:13" ht="14.45" customHeight="1" x14ac:dyDescent="0.25">
      <c r="B39" s="768"/>
      <c r="C39" s="768"/>
      <c r="D39" s="768"/>
      <c r="E39" s="768"/>
      <c r="F39" s="768"/>
      <c r="G39" s="768"/>
      <c r="H39" s="768"/>
      <c r="I39" s="768"/>
      <c r="J39" s="768"/>
      <c r="K39" s="768"/>
      <c r="L39" s="768"/>
      <c r="M39" s="768"/>
    </row>
    <row r="40" spans="2:13" ht="14.45" customHeight="1" x14ac:dyDescent="0.25">
      <c r="B40" s="768"/>
      <c r="C40" s="768"/>
      <c r="D40" s="768"/>
      <c r="E40" s="768"/>
      <c r="F40" s="768"/>
      <c r="G40" s="768"/>
      <c r="H40" s="768"/>
      <c r="I40" s="768"/>
      <c r="J40" s="768"/>
      <c r="K40" s="768"/>
      <c r="L40" s="768"/>
      <c r="M40" s="768"/>
    </row>
    <row r="41" spans="2:13" ht="14.45" customHeight="1" x14ac:dyDescent="0.25">
      <c r="B41" s="768"/>
      <c r="C41" s="768"/>
      <c r="D41" s="768"/>
      <c r="E41" s="768"/>
      <c r="F41" s="768"/>
      <c r="G41" s="768"/>
      <c r="H41" s="768"/>
      <c r="I41" s="768"/>
      <c r="J41" s="768"/>
      <c r="K41" s="768"/>
      <c r="L41" s="768"/>
      <c r="M41" s="768"/>
    </row>
    <row r="42" spans="2:13" ht="14.45" customHeight="1" x14ac:dyDescent="0.25">
      <c r="B42" s="768"/>
      <c r="C42" s="768"/>
      <c r="D42" s="768"/>
      <c r="E42" s="768"/>
      <c r="F42" s="768"/>
      <c r="G42" s="768"/>
      <c r="H42" s="768"/>
      <c r="I42" s="768"/>
      <c r="J42" s="768"/>
      <c r="K42" s="768"/>
      <c r="L42" s="768"/>
      <c r="M42" s="768"/>
    </row>
    <row r="43" spans="2:13" ht="14.45" customHeight="1" x14ac:dyDescent="0.25">
      <c r="B43" s="768"/>
      <c r="C43" s="768"/>
      <c r="D43" s="768"/>
      <c r="E43" s="768"/>
      <c r="F43" s="768"/>
      <c r="G43" s="768"/>
      <c r="H43" s="768"/>
      <c r="I43" s="768"/>
      <c r="J43" s="768"/>
      <c r="K43" s="768"/>
      <c r="L43" s="768"/>
      <c r="M43" s="768"/>
    </row>
    <row r="44" spans="2:13" x14ac:dyDescent="0.25">
      <c r="B44" s="768"/>
      <c r="C44" s="768"/>
      <c r="D44" s="768"/>
      <c r="E44" s="768"/>
      <c r="F44" s="768"/>
      <c r="G44" s="768"/>
      <c r="H44" s="768"/>
      <c r="I44" s="768"/>
      <c r="J44" s="768"/>
      <c r="K44" s="768"/>
      <c r="L44" s="768"/>
      <c r="M44" s="768"/>
    </row>
    <row r="45" spans="2:13" ht="15" customHeight="1" x14ac:dyDescent="0.25">
      <c r="B45" s="764" t="s">
        <v>300</v>
      </c>
      <c r="C45" s="764"/>
      <c r="D45" s="764"/>
      <c r="E45" s="764"/>
      <c r="F45" s="764"/>
      <c r="G45" s="764"/>
      <c r="H45" s="764"/>
      <c r="I45" s="764"/>
      <c r="J45" s="764"/>
      <c r="K45" s="764"/>
      <c r="L45" s="764"/>
      <c r="M45" s="764"/>
    </row>
    <row r="46" spans="2:13" ht="14.45" customHeight="1" x14ac:dyDescent="0.25">
      <c r="B46" s="765" t="s">
        <v>301</v>
      </c>
      <c r="C46" s="765"/>
      <c r="D46" s="765"/>
      <c r="E46" s="765"/>
      <c r="F46" s="765"/>
      <c r="G46" s="765"/>
      <c r="H46" s="765"/>
      <c r="I46" s="765"/>
      <c r="J46" s="765"/>
      <c r="K46" s="765"/>
      <c r="L46" s="765"/>
      <c r="M46" s="765"/>
    </row>
    <row r="47" spans="2:13" x14ac:dyDescent="0.25">
      <c r="B47" s="259" t="s">
        <v>378</v>
      </c>
      <c r="C47" s="258"/>
      <c r="D47" s="258"/>
      <c r="E47" s="258"/>
      <c r="F47" s="258"/>
      <c r="G47" s="258"/>
      <c r="H47" s="258"/>
      <c r="I47" s="258"/>
      <c r="J47" s="258"/>
      <c r="K47" s="258"/>
      <c r="L47" s="258"/>
      <c r="M47" s="258"/>
    </row>
    <row r="48" spans="2:13" x14ac:dyDescent="0.25">
      <c r="B48" s="259" t="s">
        <v>302</v>
      </c>
      <c r="C48" s="258"/>
      <c r="D48" s="258"/>
      <c r="E48" s="258"/>
      <c r="F48" s="258"/>
      <c r="G48" s="258"/>
      <c r="H48" s="258"/>
      <c r="I48" s="258"/>
      <c r="J48" s="258"/>
      <c r="K48" s="258"/>
      <c r="L48" s="258"/>
      <c r="M48" s="258"/>
    </row>
    <row r="49" spans="2:13" x14ac:dyDescent="0.25">
      <c r="B49" s="259" t="s">
        <v>303</v>
      </c>
      <c r="C49" s="258"/>
      <c r="D49" s="258"/>
      <c r="E49" s="258"/>
      <c r="F49" s="258"/>
      <c r="G49" s="258"/>
      <c r="H49" s="258"/>
      <c r="I49" s="258"/>
      <c r="J49" s="258"/>
      <c r="K49" s="258"/>
      <c r="L49" s="258"/>
      <c r="M49" s="258"/>
    </row>
  </sheetData>
  <sheetProtection algorithmName="SHA-512" hashValue="OETJt2KzVsJU5BnGUq2uCwIiGsq60yy+QIDjjw7ACymGag5wov7m1hO4d/WPtm7JaUTNdUKa7rNM4mILENmYCQ==" saltValue="nObugUmPa6mLbJYQ49TzMA==" spinCount="100000" sheet="1" objects="1" scenarios="1" selectLockedCells="1"/>
  <mergeCells count="7">
    <mergeCell ref="B45:M45"/>
    <mergeCell ref="B46:M46"/>
    <mergeCell ref="C22:L33"/>
    <mergeCell ref="C3:L4"/>
    <mergeCell ref="B34:M44"/>
    <mergeCell ref="B6:M10"/>
    <mergeCell ref="B11:M19"/>
  </mergeCells>
  <hyperlinks>
    <hyperlink ref="C22" r:id="rId1" display="https://archivemhc.com/col/" xr:uid="{00000000-0004-0000-0800-000000000000}"/>
  </hyperlinks>
  <pageMargins left="0.7" right="0.7" top="0.75" bottom="0.75" header="0.3" footer="0.3"/>
  <pageSetup scale="89" orientation="portrait" r:id="rId2"/>
  <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3" tint="0.249977111117893"/>
  </sheetPr>
  <dimension ref="A2:S141"/>
  <sheetViews>
    <sheetView showGridLines="0" topLeftCell="A12" zoomScaleNormal="100" workbookViewId="0">
      <selection activeCell="F10" sqref="F10:I10"/>
    </sheetView>
  </sheetViews>
  <sheetFormatPr defaultColWidth="8.85546875" defaultRowHeight="15" x14ac:dyDescent="0.25"/>
  <cols>
    <col min="1" max="1" width="1.7109375" style="3" customWidth="1"/>
    <col min="2" max="2" width="49.5703125" style="3" customWidth="1"/>
    <col min="3" max="3" width="1.7109375" style="3" customWidth="1"/>
    <col min="4" max="4" width="5.42578125" style="3" customWidth="1"/>
    <col min="5" max="5" width="10.140625" style="3" customWidth="1"/>
    <col min="6" max="6" width="17.140625" style="3" bestFit="1" customWidth="1"/>
    <col min="7" max="7" width="1.140625" style="3" customWidth="1"/>
    <col min="8" max="8" width="13.42578125" style="3" customWidth="1"/>
    <col min="9" max="9" width="8.42578125" style="3" customWidth="1"/>
    <col min="10" max="10" width="3" style="3" customWidth="1"/>
    <col min="11" max="11" width="14.42578125" style="3" customWidth="1"/>
    <col min="12" max="12" width="3.140625" style="3" customWidth="1"/>
    <col min="13" max="13" width="12.7109375" style="3" customWidth="1"/>
    <col min="14" max="15" width="3.140625" style="3" customWidth="1"/>
    <col min="16" max="16" width="14" style="3" customWidth="1"/>
    <col min="17" max="17" width="12.42578125" style="3" customWidth="1"/>
    <col min="18" max="18" width="4.42578125" style="3" customWidth="1"/>
    <col min="19" max="19" width="13.7109375" style="3" customWidth="1"/>
    <col min="20" max="16384" width="8.85546875" style="3"/>
  </cols>
  <sheetData>
    <row r="2" spans="4:19" s="6" customFormat="1" ht="13.5" x14ac:dyDescent="0.25">
      <c r="D2" s="17"/>
      <c r="E2" s="17"/>
      <c r="F2" s="17"/>
      <c r="G2" s="17"/>
      <c r="H2" s="17"/>
      <c r="I2" s="17"/>
      <c r="J2" s="17"/>
      <c r="K2" s="17"/>
      <c r="L2" s="17"/>
      <c r="M2" s="17"/>
      <c r="N2" s="17"/>
      <c r="O2" s="17"/>
      <c r="P2" s="17"/>
      <c r="Q2" s="17"/>
      <c r="R2" s="17"/>
      <c r="S2" s="17"/>
    </row>
    <row r="3" spans="4:19" s="6" customFormat="1" ht="15.75" x14ac:dyDescent="0.25">
      <c r="D3" s="634" t="s">
        <v>8</v>
      </c>
      <c r="E3" s="634"/>
      <c r="F3" s="635"/>
      <c r="G3" s="17"/>
      <c r="H3" s="17"/>
      <c r="I3" s="17"/>
      <c r="J3" s="17"/>
      <c r="K3" s="17"/>
      <c r="L3" s="17"/>
      <c r="M3" s="17"/>
      <c r="N3" s="17"/>
      <c r="O3" s="17"/>
      <c r="P3" s="17"/>
      <c r="Q3" s="181"/>
      <c r="R3" s="17"/>
      <c r="S3" s="17"/>
    </row>
    <row r="4" spans="4:19" s="6" customFormat="1" ht="15.75" x14ac:dyDescent="0.25">
      <c r="D4" s="125"/>
      <c r="E4" s="125"/>
      <c r="F4" s="180"/>
      <c r="G4" s="777" t="s">
        <v>196</v>
      </c>
      <c r="H4" s="778"/>
      <c r="I4" s="778"/>
      <c r="J4" s="778"/>
      <c r="K4" s="778"/>
      <c r="L4" s="778"/>
      <c r="M4" s="778"/>
      <c r="N4" s="778"/>
      <c r="O4" s="778"/>
      <c r="P4" s="779"/>
      <c r="Q4" s="181"/>
      <c r="R4" s="17"/>
      <c r="S4" s="17"/>
    </row>
    <row r="5" spans="4:19" s="6" customFormat="1" ht="24" customHeight="1" x14ac:dyDescent="0.25">
      <c r="D5" s="771"/>
      <c r="E5" s="771"/>
      <c r="F5" s="772"/>
      <c r="G5" s="17"/>
      <c r="H5" s="773" t="s">
        <v>387</v>
      </c>
      <c r="I5" s="773"/>
      <c r="J5" s="773"/>
      <c r="K5" s="773"/>
      <c r="L5" s="773"/>
      <c r="M5" s="773"/>
      <c r="N5" s="773"/>
      <c r="O5" s="773"/>
      <c r="P5" s="773"/>
      <c r="Q5" s="413" t="s">
        <v>1240</v>
      </c>
      <c r="R5" s="414"/>
      <c r="S5" s="414"/>
    </row>
    <row r="6" spans="4:19" s="6" customFormat="1" ht="13.5" x14ac:dyDescent="0.25">
      <c r="D6" s="771"/>
      <c r="E6" s="771"/>
      <c r="F6" s="772"/>
      <c r="G6" s="17"/>
      <c r="H6" s="774" t="s">
        <v>1248</v>
      </c>
      <c r="I6" s="774"/>
      <c r="J6" s="774"/>
      <c r="K6" s="774"/>
      <c r="L6" s="774"/>
      <c r="M6" s="774"/>
      <c r="N6" s="774"/>
      <c r="O6" s="774"/>
      <c r="P6" s="774"/>
      <c r="Q6" s="416">
        <v>2024</v>
      </c>
      <c r="R6" s="417"/>
      <c r="S6" s="417"/>
    </row>
    <row r="7" spans="4:19" s="6" customFormat="1" ht="26.45" customHeight="1" x14ac:dyDescent="0.25">
      <c r="D7" s="771"/>
      <c r="E7" s="771"/>
      <c r="F7" s="772"/>
      <c r="G7" s="17"/>
      <c r="H7" s="775" t="s">
        <v>161</v>
      </c>
      <c r="I7" s="775"/>
      <c r="J7" s="775"/>
      <c r="K7" s="775"/>
      <c r="L7" s="775"/>
      <c r="M7" s="775"/>
      <c r="N7" s="775"/>
      <c r="O7" s="775"/>
      <c r="P7" s="775"/>
      <c r="Q7" s="418"/>
      <c r="R7" s="419"/>
      <c r="S7" s="419"/>
    </row>
    <row r="8" spans="4:19" s="6" customFormat="1" ht="14.25" thickBot="1" x14ac:dyDescent="0.3">
      <c r="D8" s="127"/>
      <c r="E8" s="17"/>
      <c r="F8" s="115"/>
      <c r="G8" s="17"/>
      <c r="H8" s="775"/>
      <c r="I8" s="775"/>
      <c r="J8" s="775"/>
      <c r="K8" s="775"/>
      <c r="L8" s="775"/>
      <c r="M8" s="775"/>
      <c r="N8" s="775"/>
      <c r="O8" s="775"/>
      <c r="P8" s="775"/>
      <c r="Q8" s="776" t="s">
        <v>1</v>
      </c>
      <c r="R8" s="427"/>
      <c r="S8" s="427"/>
    </row>
    <row r="9" spans="4:19" s="6" customFormat="1" ht="7.9" customHeight="1" thickBot="1" x14ac:dyDescent="0.3">
      <c r="D9" s="42"/>
      <c r="E9" s="42"/>
      <c r="F9" s="42"/>
      <c r="G9" s="42"/>
      <c r="H9" s="42"/>
      <c r="I9" s="42"/>
      <c r="J9" s="42"/>
      <c r="K9" s="42"/>
      <c r="L9" s="42"/>
      <c r="M9" s="42"/>
      <c r="N9" s="42"/>
      <c r="O9" s="42"/>
      <c r="P9" s="42"/>
      <c r="Q9" s="42"/>
      <c r="R9" s="42"/>
      <c r="S9" s="42"/>
    </row>
    <row r="10" spans="4:19" s="6" customFormat="1" ht="16.899999999999999" customHeight="1" thickBot="1" x14ac:dyDescent="0.3">
      <c r="D10" s="514" t="s">
        <v>2</v>
      </c>
      <c r="E10" s="515"/>
      <c r="F10" s="516"/>
      <c r="G10" s="566"/>
      <c r="H10" s="566"/>
      <c r="I10" s="517"/>
      <c r="J10" s="17"/>
      <c r="K10" s="17" t="s">
        <v>336</v>
      </c>
      <c r="L10" s="780"/>
      <c r="M10" s="781"/>
      <c r="N10" s="782"/>
      <c r="O10" s="20"/>
      <c r="P10" s="32" t="s">
        <v>3</v>
      </c>
      <c r="Q10" s="20" t="s">
        <v>4</v>
      </c>
      <c r="R10" s="516"/>
      <c r="S10" s="517"/>
    </row>
    <row r="11" spans="4:19" s="6" customFormat="1" ht="7.15" customHeight="1" x14ac:dyDescent="0.25">
      <c r="D11" s="427"/>
      <c r="E11" s="427"/>
      <c r="F11" s="427"/>
      <c r="G11" s="427"/>
      <c r="H11" s="427"/>
      <c r="I11" s="427"/>
      <c r="J11" s="17"/>
      <c r="K11" s="17"/>
      <c r="L11" s="17"/>
      <c r="M11" s="17"/>
      <c r="N11" s="17"/>
      <c r="O11" s="17"/>
      <c r="P11" s="181"/>
      <c r="Q11" s="427"/>
      <c r="R11" s="427"/>
      <c r="S11" s="17"/>
    </row>
    <row r="12" spans="4:19" s="6" customFormat="1" ht="16.899999999999999" customHeight="1" x14ac:dyDescent="0.25">
      <c r="D12" s="514" t="s">
        <v>49</v>
      </c>
      <c r="E12" s="515"/>
      <c r="F12" s="516"/>
      <c r="G12" s="566"/>
      <c r="H12" s="566"/>
      <c r="I12" s="566"/>
      <c r="J12" s="566"/>
      <c r="K12" s="517"/>
      <c r="L12" s="20"/>
      <c r="M12" s="17" t="s">
        <v>108</v>
      </c>
      <c r="N12" s="786"/>
      <c r="O12" s="786"/>
      <c r="P12" s="786"/>
      <c r="Q12" s="334" t="s">
        <v>162</v>
      </c>
      <c r="R12" s="787"/>
      <c r="S12" s="788"/>
    </row>
    <row r="13" spans="4:19" s="6" customFormat="1" ht="5.45" customHeight="1" x14ac:dyDescent="0.25">
      <c r="D13" s="29"/>
      <c r="E13" s="29"/>
      <c r="F13" s="182"/>
      <c r="G13" s="182"/>
      <c r="H13" s="182"/>
      <c r="I13" s="20"/>
      <c r="J13" s="20"/>
      <c r="K13" s="182"/>
      <c r="L13" s="20"/>
      <c r="M13" s="17"/>
      <c r="N13" s="20"/>
      <c r="O13" s="20"/>
      <c r="P13" s="17"/>
      <c r="Q13" s="17"/>
      <c r="R13" s="17"/>
      <c r="S13" s="17"/>
    </row>
    <row r="14" spans="4:19" s="6" customFormat="1" ht="3.6" customHeight="1" thickBot="1" x14ac:dyDescent="0.3">
      <c r="D14" s="17"/>
      <c r="E14" s="17"/>
      <c r="F14" s="17"/>
      <c r="G14" s="17"/>
      <c r="H14" s="17"/>
      <c r="I14" s="17"/>
      <c r="J14" s="17"/>
      <c r="K14" s="17"/>
      <c r="L14" s="17"/>
      <c r="M14" s="17"/>
      <c r="N14" s="17"/>
      <c r="O14" s="17"/>
      <c r="P14" s="17"/>
      <c r="Q14" s="17"/>
      <c r="R14" s="17"/>
      <c r="S14" s="17"/>
    </row>
    <row r="15" spans="4:19" s="6" customFormat="1" ht="3.6" customHeight="1" thickBot="1" x14ac:dyDescent="0.3">
      <c r="D15" s="42"/>
      <c r="E15" s="42"/>
      <c r="F15" s="42"/>
      <c r="G15" s="42"/>
      <c r="H15" s="42"/>
      <c r="I15" s="42"/>
      <c r="J15" s="42"/>
      <c r="K15" s="42"/>
      <c r="L15" s="42"/>
      <c r="M15" s="42"/>
      <c r="N15" s="42"/>
      <c r="O15" s="42"/>
      <c r="P15" s="42"/>
      <c r="Q15" s="42"/>
      <c r="R15" s="42"/>
      <c r="S15" s="42"/>
    </row>
    <row r="16" spans="4:19" s="6" customFormat="1" ht="31.9" customHeight="1" x14ac:dyDescent="0.25">
      <c r="D16" s="783" t="s">
        <v>1222</v>
      </c>
      <c r="E16" s="784"/>
      <c r="F16" s="784"/>
      <c r="G16" s="784"/>
      <c r="H16" s="784"/>
      <c r="I16" s="784"/>
      <c r="J16" s="784"/>
      <c r="K16" s="784"/>
      <c r="L16" s="784"/>
      <c r="M16" s="784"/>
      <c r="N16" s="784"/>
      <c r="O16" s="784"/>
      <c r="P16" s="784"/>
      <c r="Q16" s="784"/>
      <c r="R16" s="784"/>
      <c r="S16" s="785"/>
    </row>
    <row r="17" spans="4:19" s="6" customFormat="1" ht="4.9000000000000004" customHeight="1" x14ac:dyDescent="0.25">
      <c r="D17" s="652"/>
      <c r="E17" s="652"/>
      <c r="F17" s="652"/>
      <c r="G17" s="652"/>
      <c r="H17" s="652"/>
      <c r="I17" s="652"/>
      <c r="J17" s="652"/>
      <c r="K17" s="652"/>
      <c r="L17" s="652"/>
      <c r="M17" s="652"/>
      <c r="N17" s="652"/>
      <c r="O17" s="652"/>
      <c r="P17" s="652"/>
      <c r="Q17" s="652"/>
      <c r="R17" s="652"/>
      <c r="S17" s="652"/>
    </row>
    <row r="18" spans="4:19" s="6" customFormat="1" ht="16.899999999999999" customHeight="1" x14ac:dyDescent="0.25">
      <c r="D18" s="789" t="s">
        <v>163</v>
      </c>
      <c r="E18" s="789"/>
      <c r="F18" s="789"/>
      <c r="G18" s="789"/>
      <c r="H18" s="789"/>
      <c r="I18" s="789"/>
      <c r="J18" s="138"/>
      <c r="K18" s="102" t="s">
        <v>164</v>
      </c>
      <c r="L18" s="138"/>
      <c r="M18" s="102" t="s">
        <v>165</v>
      </c>
      <c r="N18" s="17"/>
      <c r="O18" s="138"/>
      <c r="P18" s="17"/>
      <c r="Q18" s="17"/>
      <c r="R18" s="17"/>
      <c r="S18" s="102"/>
    </row>
    <row r="19" spans="4:19" s="6" customFormat="1" ht="4.9000000000000004" customHeight="1" thickBot="1" x14ac:dyDescent="0.3">
      <c r="D19" s="652"/>
      <c r="E19" s="652"/>
      <c r="F19" s="652"/>
      <c r="G19" s="652"/>
      <c r="H19" s="652"/>
      <c r="I19" s="652"/>
      <c r="J19" s="652"/>
      <c r="K19" s="652"/>
      <c r="L19" s="652"/>
      <c r="M19" s="652"/>
      <c r="N19" s="652"/>
      <c r="O19" s="652"/>
      <c r="P19" s="652"/>
      <c r="Q19" s="652"/>
      <c r="R19" s="652"/>
      <c r="S19" s="652"/>
    </row>
    <row r="20" spans="4:19" s="6" customFormat="1" ht="20.45" customHeight="1" thickBot="1" x14ac:dyDescent="0.3">
      <c r="D20" s="401" t="s">
        <v>166</v>
      </c>
      <c r="E20" s="402"/>
      <c r="F20" s="403" t="s">
        <v>167</v>
      </c>
      <c r="G20" s="404"/>
      <c r="H20" s="404"/>
      <c r="I20" s="404"/>
      <c r="J20" s="404"/>
      <c r="K20" s="404"/>
      <c r="L20" s="404"/>
      <c r="M20" s="404"/>
      <c r="N20" s="404"/>
      <c r="O20" s="404"/>
      <c r="P20" s="404"/>
      <c r="Q20" s="404"/>
      <c r="R20" s="404"/>
      <c r="S20" s="405"/>
    </row>
    <row r="21" spans="4:19" s="6" customFormat="1" ht="5.45" customHeight="1" x14ac:dyDescent="0.25">
      <c r="D21" s="44"/>
      <c r="E21" s="45"/>
      <c r="F21" s="46"/>
      <c r="G21" s="46"/>
      <c r="H21" s="46"/>
      <c r="I21" s="46"/>
      <c r="J21" s="47"/>
      <c r="K21" s="47"/>
      <c r="L21" s="47"/>
      <c r="M21" s="47"/>
      <c r="N21" s="47"/>
      <c r="O21" s="47"/>
      <c r="P21" s="47"/>
      <c r="Q21" s="47"/>
      <c r="R21" s="47"/>
      <c r="S21" s="47"/>
    </row>
    <row r="22" spans="4:19" s="6" customFormat="1" ht="17.45" customHeight="1" x14ac:dyDescent="0.25">
      <c r="D22" s="130" t="s">
        <v>168</v>
      </c>
      <c r="E22" s="790" t="s">
        <v>339</v>
      </c>
      <c r="F22" s="790"/>
      <c r="G22" s="790"/>
      <c r="H22" s="790"/>
      <c r="I22" s="790"/>
      <c r="J22" s="790"/>
      <c r="K22" s="790"/>
      <c r="L22" s="790"/>
      <c r="M22" s="790"/>
      <c r="N22" s="790"/>
      <c r="O22" s="790"/>
      <c r="P22" s="790"/>
      <c r="Q22" s="790"/>
      <c r="R22" s="130" t="s">
        <v>168</v>
      </c>
      <c r="S22" s="129" t="s">
        <v>169</v>
      </c>
    </row>
    <row r="23" spans="4:19" s="6" customFormat="1" ht="7.15" customHeight="1" x14ac:dyDescent="0.25">
      <c r="D23" s="130"/>
      <c r="E23" s="131"/>
      <c r="F23" s="131"/>
      <c r="G23" s="131"/>
      <c r="H23" s="131"/>
      <c r="I23" s="131"/>
      <c r="J23" s="131"/>
      <c r="K23" s="131"/>
      <c r="L23" s="131"/>
      <c r="M23" s="131"/>
      <c r="N23" s="131"/>
      <c r="O23" s="131"/>
      <c r="P23" s="131"/>
      <c r="Q23" s="131"/>
      <c r="R23" s="130"/>
      <c r="S23" s="130"/>
    </row>
    <row r="24" spans="4:19" s="6" customFormat="1" ht="17.45" customHeight="1" x14ac:dyDescent="0.25">
      <c r="D24" s="130" t="s">
        <v>170</v>
      </c>
      <c r="E24" s="790" t="s">
        <v>338</v>
      </c>
      <c r="F24" s="790"/>
      <c r="G24" s="790"/>
      <c r="H24" s="790"/>
      <c r="I24" s="790"/>
      <c r="J24" s="790"/>
      <c r="K24" s="790"/>
      <c r="L24" s="790"/>
      <c r="M24" s="790"/>
      <c r="N24" s="790"/>
      <c r="O24" s="790"/>
      <c r="P24" s="790"/>
      <c r="Q24" s="790"/>
      <c r="R24" s="130" t="s">
        <v>170</v>
      </c>
      <c r="S24" s="129" t="s">
        <v>169</v>
      </c>
    </row>
    <row r="25" spans="4:19" s="6" customFormat="1" ht="27.6" customHeight="1" x14ac:dyDescent="0.25">
      <c r="D25" s="130"/>
      <c r="E25" s="791" t="s">
        <v>356</v>
      </c>
      <c r="F25" s="791"/>
      <c r="G25" s="791"/>
      <c r="H25" s="791"/>
      <c r="I25" s="791"/>
      <c r="J25" s="791"/>
      <c r="K25" s="791"/>
      <c r="L25" s="791"/>
      <c r="M25" s="791"/>
      <c r="N25" s="791"/>
      <c r="O25" s="791"/>
      <c r="P25" s="791"/>
      <c r="Q25" s="791"/>
      <c r="R25" s="130"/>
      <c r="S25" s="130"/>
    </row>
    <row r="26" spans="4:19" s="6" customFormat="1" ht="17.45" customHeight="1" x14ac:dyDescent="0.25">
      <c r="D26" s="130" t="s">
        <v>171</v>
      </c>
      <c r="E26" s="792" t="s">
        <v>355</v>
      </c>
      <c r="F26" s="792"/>
      <c r="G26" s="792"/>
      <c r="H26" s="792"/>
      <c r="I26" s="792"/>
      <c r="J26" s="792"/>
      <c r="K26" s="792"/>
      <c r="L26" s="792"/>
      <c r="M26" s="792"/>
      <c r="N26" s="792"/>
      <c r="O26" s="792"/>
      <c r="P26" s="792"/>
      <c r="Q26" s="792"/>
      <c r="R26" s="130" t="s">
        <v>171</v>
      </c>
      <c r="S26" s="129" t="s">
        <v>169</v>
      </c>
    </row>
    <row r="27" spans="4:19" ht="31.9" customHeight="1" x14ac:dyDescent="0.25">
      <c r="D27" s="139"/>
      <c r="E27" s="793" t="s">
        <v>357</v>
      </c>
      <c r="F27" s="793"/>
      <c r="G27" s="793"/>
      <c r="H27" s="793"/>
      <c r="I27" s="793"/>
      <c r="J27" s="793"/>
      <c r="K27" s="793"/>
      <c r="L27" s="793"/>
      <c r="M27" s="793"/>
      <c r="N27" s="793"/>
      <c r="O27" s="793"/>
      <c r="P27" s="793"/>
      <c r="Q27" s="793"/>
      <c r="R27" s="140"/>
      <c r="S27" s="140"/>
    </row>
    <row r="28" spans="4:19" s="6" customFormat="1" ht="7.15" customHeight="1" thickBot="1" x14ac:dyDescent="0.3">
      <c r="D28" s="130"/>
      <c r="E28" s="131"/>
      <c r="F28" s="131"/>
      <c r="G28" s="131"/>
      <c r="H28" s="131"/>
      <c r="I28" s="131"/>
      <c r="J28" s="131"/>
      <c r="K28" s="131"/>
      <c r="L28" s="131"/>
      <c r="M28" s="131"/>
      <c r="N28" s="131"/>
      <c r="O28" s="131"/>
      <c r="P28" s="131"/>
      <c r="Q28" s="131"/>
      <c r="R28" s="130"/>
      <c r="S28" s="130"/>
    </row>
    <row r="29" spans="4:19" s="6" customFormat="1" ht="20.45" customHeight="1" thickBot="1" x14ac:dyDescent="0.3">
      <c r="D29" s="401" t="s">
        <v>5</v>
      </c>
      <c r="E29" s="402"/>
      <c r="F29" s="403" t="s">
        <v>172</v>
      </c>
      <c r="G29" s="404"/>
      <c r="H29" s="404"/>
      <c r="I29" s="404"/>
      <c r="J29" s="404"/>
      <c r="K29" s="404"/>
      <c r="L29" s="404"/>
      <c r="M29" s="404"/>
      <c r="N29" s="404"/>
      <c r="O29" s="404"/>
      <c r="P29" s="404"/>
      <c r="Q29" s="404"/>
      <c r="R29" s="404"/>
      <c r="S29" s="405"/>
    </row>
    <row r="30" spans="4:19" s="6" customFormat="1" ht="5.45" customHeight="1" x14ac:dyDescent="0.25">
      <c r="D30" s="44"/>
      <c r="E30" s="45"/>
      <c r="F30" s="46"/>
      <c r="G30" s="46"/>
      <c r="H30" s="46"/>
      <c r="I30" s="46"/>
      <c r="J30" s="47"/>
      <c r="K30" s="47"/>
      <c r="L30" s="47"/>
      <c r="M30" s="47"/>
      <c r="N30" s="47"/>
      <c r="O30" s="47"/>
      <c r="P30" s="47"/>
      <c r="Q30" s="47"/>
      <c r="R30" s="47"/>
      <c r="S30" s="47"/>
    </row>
    <row r="31" spans="4:19" s="6" customFormat="1" ht="17.45" customHeight="1" x14ac:dyDescent="0.25">
      <c r="D31" s="136">
        <v>1</v>
      </c>
      <c r="E31" s="522" t="s">
        <v>340</v>
      </c>
      <c r="F31" s="522"/>
      <c r="G31" s="522"/>
      <c r="H31" s="522"/>
      <c r="I31" s="522"/>
      <c r="J31" s="522"/>
      <c r="K31" s="522"/>
      <c r="L31" s="522"/>
      <c r="M31" s="522"/>
      <c r="N31" s="522"/>
      <c r="O31" s="522"/>
      <c r="P31" s="522"/>
      <c r="Q31" s="522"/>
      <c r="R31" s="137">
        <v>1</v>
      </c>
      <c r="S31" s="301">
        <v>0</v>
      </c>
    </row>
    <row r="32" spans="4:19" s="6" customFormat="1" ht="6" customHeight="1" x14ac:dyDescent="0.25">
      <c r="D32" s="29"/>
      <c r="E32" s="29"/>
      <c r="F32" s="20"/>
      <c r="G32" s="20"/>
      <c r="H32" s="20"/>
      <c r="I32" s="20"/>
      <c r="J32" s="20"/>
      <c r="K32" s="20"/>
      <c r="L32" s="20"/>
      <c r="M32" s="17"/>
      <c r="N32" s="20"/>
      <c r="O32" s="20"/>
      <c r="P32" s="17"/>
      <c r="Q32" s="17"/>
      <c r="R32" s="17"/>
      <c r="S32" s="17"/>
    </row>
    <row r="33" spans="4:19" s="6" customFormat="1" ht="17.45" customHeight="1" x14ac:dyDescent="0.25">
      <c r="D33" s="136">
        <v>2</v>
      </c>
      <c r="E33" s="399" t="s">
        <v>1234</v>
      </c>
      <c r="F33" s="399"/>
      <c r="G33" s="399"/>
      <c r="H33" s="399"/>
      <c r="I33" s="399"/>
      <c r="J33" s="399"/>
      <c r="K33" s="399"/>
      <c r="L33" s="399"/>
      <c r="M33" s="399"/>
      <c r="N33" s="399"/>
      <c r="O33" s="399"/>
      <c r="P33" s="399"/>
      <c r="Q33" s="399"/>
      <c r="R33" s="137">
        <v>2</v>
      </c>
      <c r="S33" s="302"/>
    </row>
    <row r="34" spans="4:19" ht="11.25" customHeight="1" x14ac:dyDescent="0.25">
      <c r="D34" s="139"/>
      <c r="E34" s="831" t="s">
        <v>1238</v>
      </c>
      <c r="F34" s="831"/>
      <c r="G34" s="831"/>
      <c r="H34" s="831"/>
      <c r="I34" s="831"/>
      <c r="J34" s="831"/>
      <c r="K34" s="831"/>
      <c r="L34" s="831"/>
      <c r="M34" s="831"/>
      <c r="N34" s="831"/>
      <c r="O34" s="831"/>
      <c r="P34" s="831"/>
      <c r="Q34" s="831"/>
      <c r="R34" s="140"/>
      <c r="S34" s="140"/>
    </row>
    <row r="35" spans="4:19" ht="4.9000000000000004" customHeight="1" thickBot="1" x14ac:dyDescent="0.3">
      <c r="D35"/>
      <c r="E35"/>
      <c r="F35"/>
      <c r="G35"/>
      <c r="H35"/>
      <c r="I35"/>
      <c r="J35"/>
      <c r="K35"/>
      <c r="L35"/>
      <c r="M35"/>
      <c r="N35"/>
      <c r="O35"/>
      <c r="P35"/>
      <c r="Q35"/>
      <c r="R35"/>
      <c r="S35"/>
    </row>
    <row r="36" spans="4:19" ht="42" customHeight="1" thickTop="1" thickBot="1" x14ac:dyDescent="0.3">
      <c r="D36" s="795" t="s">
        <v>1237</v>
      </c>
      <c r="E36" s="796"/>
      <c r="F36" s="796"/>
      <c r="G36" s="796"/>
      <c r="H36" s="796"/>
      <c r="I36" s="796"/>
      <c r="J36" s="796"/>
      <c r="K36" s="796"/>
      <c r="L36" s="796"/>
      <c r="M36" s="796"/>
      <c r="N36" s="796"/>
      <c r="O36" s="796"/>
      <c r="P36" s="796"/>
      <c r="Q36" s="796"/>
      <c r="R36" s="796"/>
      <c r="S36" s="797"/>
    </row>
    <row r="37" spans="4:19" ht="13.9" customHeight="1" thickTop="1" x14ac:dyDescent="0.25">
      <c r="D37" s="798"/>
      <c r="E37" s="799"/>
      <c r="F37" s="799"/>
      <c r="G37" s="799"/>
      <c r="H37" s="799"/>
      <c r="I37" s="799"/>
      <c r="J37" s="799"/>
      <c r="K37" s="799"/>
      <c r="L37" s="799"/>
      <c r="M37" s="799"/>
      <c r="N37" s="799"/>
      <c r="O37" s="799"/>
      <c r="P37" s="799"/>
      <c r="Q37" s="799"/>
      <c r="R37" s="799"/>
      <c r="S37" s="800"/>
    </row>
    <row r="38" spans="4:19" ht="20.25" customHeight="1" x14ac:dyDescent="0.25">
      <c r="D38" s="801"/>
      <c r="E38" s="802"/>
      <c r="F38" s="802"/>
      <c r="G38" s="802"/>
      <c r="H38" s="802"/>
      <c r="I38" s="802"/>
      <c r="J38" s="802"/>
      <c r="K38" s="802"/>
      <c r="L38" s="802"/>
      <c r="M38" s="802"/>
      <c r="N38" s="802"/>
      <c r="O38" s="802"/>
      <c r="P38" s="802"/>
      <c r="Q38" s="802"/>
      <c r="R38" s="802"/>
      <c r="S38" s="803"/>
    </row>
    <row r="39" spans="4:19" x14ac:dyDescent="0.25">
      <c r="D39" s="801"/>
      <c r="E39" s="802"/>
      <c r="F39" s="802"/>
      <c r="G39" s="802"/>
      <c r="H39" s="802"/>
      <c r="I39" s="802"/>
      <c r="J39" s="802"/>
      <c r="K39" s="802"/>
      <c r="L39" s="802"/>
      <c r="M39" s="802"/>
      <c r="N39" s="802"/>
      <c r="O39" s="802"/>
      <c r="P39" s="802"/>
      <c r="Q39" s="802"/>
      <c r="R39" s="802"/>
      <c r="S39" s="803"/>
    </row>
    <row r="40" spans="4:19" x14ac:dyDescent="0.25">
      <c r="D40" s="801"/>
      <c r="E40" s="802"/>
      <c r="F40" s="802"/>
      <c r="G40" s="802"/>
      <c r="H40" s="802"/>
      <c r="I40" s="802"/>
      <c r="J40" s="802"/>
      <c r="K40" s="802"/>
      <c r="L40" s="802"/>
      <c r="M40" s="802"/>
      <c r="N40" s="802"/>
      <c r="O40" s="802"/>
      <c r="P40" s="802"/>
      <c r="Q40" s="802"/>
      <c r="R40" s="802"/>
      <c r="S40" s="803"/>
    </row>
    <row r="41" spans="4:19" ht="15.75" thickBot="1" x14ac:dyDescent="0.3">
      <c r="D41" s="804"/>
      <c r="E41" s="805"/>
      <c r="F41" s="805"/>
      <c r="G41" s="805"/>
      <c r="H41" s="805"/>
      <c r="I41" s="805"/>
      <c r="J41" s="805"/>
      <c r="K41" s="805"/>
      <c r="L41" s="805"/>
      <c r="M41" s="805"/>
      <c r="N41" s="805"/>
      <c r="O41" s="805"/>
      <c r="P41" s="805"/>
      <c r="Q41" s="805"/>
      <c r="R41" s="805"/>
      <c r="S41" s="806"/>
    </row>
    <row r="42" spans="4:19" ht="3" customHeight="1" thickBot="1" x14ac:dyDescent="0.3">
      <c r="D42" s="807"/>
      <c r="E42" s="807"/>
      <c r="F42" s="807"/>
      <c r="G42" s="807"/>
      <c r="H42" s="807"/>
      <c r="I42" s="807"/>
      <c r="J42" s="807"/>
      <c r="K42" s="807"/>
      <c r="L42" s="807"/>
      <c r="M42" s="807"/>
      <c r="N42" s="807"/>
      <c r="O42" s="807"/>
      <c r="P42" s="807"/>
      <c r="Q42" s="807"/>
      <c r="R42" s="807"/>
      <c r="S42" s="807"/>
    </row>
    <row r="43" spans="4:19" ht="20.45" customHeight="1" thickTop="1" thickBot="1" x14ac:dyDescent="0.3">
      <c r="D43" s="401" t="s">
        <v>6</v>
      </c>
      <c r="E43" s="402"/>
      <c r="F43" s="403" t="s">
        <v>173</v>
      </c>
      <c r="G43" s="404"/>
      <c r="H43" s="404"/>
      <c r="I43" s="404"/>
      <c r="J43" s="404"/>
      <c r="K43" s="404"/>
      <c r="L43" s="404"/>
      <c r="M43" s="404"/>
      <c r="N43" s="404"/>
      <c r="O43" s="404"/>
      <c r="P43" s="404"/>
      <c r="Q43" s="404"/>
      <c r="R43" s="404"/>
      <c r="S43" s="405"/>
    </row>
    <row r="44" spans="4:19" s="6" customFormat="1" ht="5.45" customHeight="1" x14ac:dyDescent="0.25">
      <c r="D44" s="44"/>
      <c r="E44" s="44"/>
      <c r="F44" s="46"/>
      <c r="G44" s="46"/>
      <c r="H44" s="46"/>
      <c r="I44" s="46"/>
      <c r="J44" s="47"/>
      <c r="K44" s="47"/>
      <c r="L44" s="47"/>
      <c r="M44" s="47"/>
      <c r="N44" s="47"/>
      <c r="O44" s="47"/>
      <c r="P44" s="47"/>
      <c r="Q44" s="47"/>
      <c r="R44" s="47"/>
      <c r="S44" s="47"/>
    </row>
    <row r="45" spans="4:19" s="6" customFormat="1" ht="15" customHeight="1" x14ac:dyDescent="0.25">
      <c r="D45" s="136">
        <v>3</v>
      </c>
      <c r="E45" s="794" t="s">
        <v>341</v>
      </c>
      <c r="F45" s="794"/>
      <c r="G45" s="794"/>
      <c r="H45" s="794"/>
      <c r="I45" s="794"/>
      <c r="J45" s="794"/>
      <c r="K45" s="794"/>
      <c r="L45" s="794"/>
      <c r="M45" s="794"/>
      <c r="N45" s="794"/>
      <c r="O45" s="794"/>
      <c r="P45" s="794"/>
      <c r="Q45" s="794"/>
      <c r="R45" s="137">
        <v>3</v>
      </c>
      <c r="S45" s="301">
        <v>0</v>
      </c>
    </row>
    <row r="46" spans="4:19" s="6" customFormat="1" ht="6" customHeight="1" x14ac:dyDescent="0.25">
      <c r="D46" s="29"/>
      <c r="E46" s="29"/>
      <c r="F46" s="20"/>
      <c r="G46" s="20"/>
      <c r="H46" s="20"/>
      <c r="I46" s="20"/>
      <c r="J46" s="20"/>
      <c r="K46" s="20"/>
      <c r="L46" s="20"/>
      <c r="M46" s="17"/>
      <c r="N46" s="20"/>
      <c r="O46" s="20"/>
      <c r="P46" s="17"/>
      <c r="Q46" s="17"/>
      <c r="R46" s="17"/>
      <c r="S46" s="17"/>
    </row>
    <row r="47" spans="4:19" s="6" customFormat="1" ht="17.45" customHeight="1" x14ac:dyDescent="0.25">
      <c r="D47" s="136">
        <v>4</v>
      </c>
      <c r="E47" s="399" t="s">
        <v>342</v>
      </c>
      <c r="F47" s="399"/>
      <c r="G47" s="399"/>
      <c r="H47" s="399"/>
      <c r="I47" s="399"/>
      <c r="J47" s="399"/>
      <c r="K47" s="399"/>
      <c r="L47" s="399"/>
      <c r="M47" s="399"/>
      <c r="N47" s="399"/>
      <c r="O47" s="399"/>
      <c r="P47" s="399"/>
      <c r="Q47" s="399"/>
      <c r="R47" s="137">
        <v>4</v>
      </c>
      <c r="S47" s="301">
        <v>0</v>
      </c>
    </row>
    <row r="48" spans="4:19" s="6" customFormat="1" ht="6" customHeight="1" x14ac:dyDescent="0.25">
      <c r="D48" s="29"/>
      <c r="E48" s="29"/>
      <c r="F48" s="20"/>
      <c r="G48" s="20"/>
      <c r="H48" s="20"/>
      <c r="I48" s="20"/>
      <c r="J48" s="20"/>
      <c r="K48" s="20"/>
      <c r="L48" s="20"/>
      <c r="M48" s="17"/>
      <c r="N48" s="20"/>
      <c r="O48" s="20"/>
      <c r="P48" s="17"/>
      <c r="Q48" s="17"/>
      <c r="R48" s="17"/>
      <c r="S48" s="17"/>
    </row>
    <row r="49" spans="4:19" s="6" customFormat="1" ht="17.45" customHeight="1" x14ac:dyDescent="0.25">
      <c r="D49" s="136">
        <v>5</v>
      </c>
      <c r="E49" s="399" t="s">
        <v>343</v>
      </c>
      <c r="F49" s="399"/>
      <c r="G49" s="399"/>
      <c r="H49" s="399"/>
      <c r="I49" s="399"/>
      <c r="J49" s="399"/>
      <c r="K49" s="399"/>
      <c r="L49" s="399"/>
      <c r="M49" s="399"/>
      <c r="N49" s="399"/>
      <c r="O49" s="399"/>
      <c r="P49" s="399"/>
      <c r="Q49" s="399"/>
      <c r="R49" s="137">
        <v>5</v>
      </c>
      <c r="S49" s="301">
        <v>0</v>
      </c>
    </row>
    <row r="50" spans="4:19" ht="5.45" customHeight="1" x14ac:dyDescent="0.25">
      <c r="D50" s="139"/>
      <c r="E50" s="183"/>
      <c r="F50" s="183"/>
      <c r="G50" s="183"/>
      <c r="H50" s="183"/>
      <c r="I50" s="183"/>
      <c r="J50" s="183"/>
      <c r="K50" s="183"/>
      <c r="L50" s="183"/>
      <c r="M50" s="183"/>
      <c r="N50" s="183"/>
      <c r="O50" s="183"/>
      <c r="P50" s="183"/>
      <c r="Q50" s="183"/>
      <c r="R50" s="140"/>
      <c r="S50" s="140"/>
    </row>
    <row r="51" spans="4:19" s="6" customFormat="1" ht="32.25" customHeight="1" x14ac:dyDescent="0.25">
      <c r="D51" s="136" t="s">
        <v>130</v>
      </c>
      <c r="E51" s="399" t="s">
        <v>344</v>
      </c>
      <c r="F51" s="399"/>
      <c r="G51" s="399"/>
      <c r="H51" s="399"/>
      <c r="I51" s="399"/>
      <c r="J51" s="399"/>
      <c r="K51" s="399"/>
      <c r="L51" s="399"/>
      <c r="M51" s="399"/>
      <c r="N51" s="399"/>
      <c r="O51" s="399"/>
      <c r="P51" s="399"/>
      <c r="Q51" s="399"/>
      <c r="R51" s="137" t="s">
        <v>130</v>
      </c>
      <c r="S51" s="303" t="s">
        <v>169</v>
      </c>
    </row>
    <row r="52" spans="4:19" s="6" customFormat="1" ht="6" customHeight="1" thickBot="1" x14ac:dyDescent="0.3">
      <c r="D52" s="29"/>
      <c r="E52" s="29"/>
      <c r="F52" s="20"/>
      <c r="G52" s="20"/>
      <c r="H52" s="20"/>
      <c r="I52" s="20"/>
      <c r="J52" s="20"/>
      <c r="K52" s="20"/>
      <c r="L52" s="20"/>
      <c r="M52" s="17"/>
      <c r="N52" s="20"/>
      <c r="O52" s="20"/>
      <c r="P52" s="17"/>
      <c r="Q52" s="17"/>
      <c r="R52" s="17"/>
      <c r="S52" s="17"/>
    </row>
    <row r="53" spans="4:19" ht="42" customHeight="1" thickTop="1" thickBot="1" x14ac:dyDescent="0.3">
      <c r="D53" s="795" t="s">
        <v>1239</v>
      </c>
      <c r="E53" s="796"/>
      <c r="F53" s="796"/>
      <c r="G53" s="796"/>
      <c r="H53" s="796"/>
      <c r="I53" s="796"/>
      <c r="J53" s="796"/>
      <c r="K53" s="796"/>
      <c r="L53" s="796"/>
      <c r="M53" s="796"/>
      <c r="N53" s="796"/>
      <c r="O53" s="796"/>
      <c r="P53" s="796"/>
      <c r="Q53" s="796"/>
      <c r="R53" s="796"/>
      <c r="S53" s="797"/>
    </row>
    <row r="54" spans="4:19" ht="13.9" customHeight="1" thickTop="1" x14ac:dyDescent="0.25">
      <c r="D54" s="798"/>
      <c r="E54" s="799"/>
      <c r="F54" s="799"/>
      <c r="G54" s="799"/>
      <c r="H54" s="799"/>
      <c r="I54" s="799"/>
      <c r="J54" s="799"/>
      <c r="K54" s="799"/>
      <c r="L54" s="799"/>
      <c r="M54" s="799"/>
      <c r="N54" s="799"/>
      <c r="O54" s="799"/>
      <c r="P54" s="799"/>
      <c r="Q54" s="799"/>
      <c r="R54" s="799"/>
      <c r="S54" s="800"/>
    </row>
    <row r="55" spans="4:19" x14ac:dyDescent="0.25">
      <c r="D55" s="801"/>
      <c r="E55" s="802"/>
      <c r="F55" s="802"/>
      <c r="G55" s="802"/>
      <c r="H55" s="802"/>
      <c r="I55" s="802"/>
      <c r="J55" s="802"/>
      <c r="K55" s="802"/>
      <c r="L55" s="802"/>
      <c r="M55" s="802"/>
      <c r="N55" s="802"/>
      <c r="O55" s="802"/>
      <c r="P55" s="802"/>
      <c r="Q55" s="802"/>
      <c r="R55" s="802"/>
      <c r="S55" s="803"/>
    </row>
    <row r="56" spans="4:19" x14ac:dyDescent="0.25">
      <c r="D56" s="801"/>
      <c r="E56" s="802"/>
      <c r="F56" s="802"/>
      <c r="G56" s="802"/>
      <c r="H56" s="802"/>
      <c r="I56" s="802"/>
      <c r="J56" s="802"/>
      <c r="K56" s="802"/>
      <c r="L56" s="802"/>
      <c r="M56" s="802"/>
      <c r="N56" s="802"/>
      <c r="O56" s="802"/>
      <c r="P56" s="802"/>
      <c r="Q56" s="802"/>
      <c r="R56" s="802"/>
      <c r="S56" s="803"/>
    </row>
    <row r="57" spans="4:19" x14ac:dyDescent="0.25">
      <c r="D57" s="801"/>
      <c r="E57" s="802"/>
      <c r="F57" s="802"/>
      <c r="G57" s="802"/>
      <c r="H57" s="802"/>
      <c r="I57" s="802"/>
      <c r="J57" s="802"/>
      <c r="K57" s="802"/>
      <c r="L57" s="802"/>
      <c r="M57" s="802"/>
      <c r="N57" s="802"/>
      <c r="O57" s="802"/>
      <c r="P57" s="802"/>
      <c r="Q57" s="802"/>
      <c r="R57" s="802"/>
      <c r="S57" s="803"/>
    </row>
    <row r="58" spans="4:19" ht="15.75" thickBot="1" x14ac:dyDescent="0.3">
      <c r="D58" s="804"/>
      <c r="E58" s="805"/>
      <c r="F58" s="805"/>
      <c r="G58" s="805"/>
      <c r="H58" s="805"/>
      <c r="I58" s="805"/>
      <c r="J58" s="805"/>
      <c r="K58" s="805"/>
      <c r="L58" s="805"/>
      <c r="M58" s="805"/>
      <c r="N58" s="805"/>
      <c r="O58" s="805"/>
      <c r="P58" s="805"/>
      <c r="Q58" s="805"/>
      <c r="R58" s="805"/>
      <c r="S58" s="806"/>
    </row>
    <row r="59" spans="4:19" ht="3" customHeight="1" thickBot="1" x14ac:dyDescent="0.3">
      <c r="D59" s="807"/>
      <c r="E59" s="807"/>
      <c r="F59" s="807"/>
      <c r="G59" s="807"/>
      <c r="H59" s="807"/>
      <c r="I59" s="807"/>
      <c r="J59" s="807"/>
      <c r="K59" s="807"/>
      <c r="L59" s="807"/>
      <c r="M59" s="807"/>
      <c r="N59" s="807"/>
      <c r="O59" s="807"/>
      <c r="P59" s="807"/>
      <c r="Q59" s="807"/>
      <c r="R59" s="807"/>
      <c r="S59" s="807"/>
    </row>
    <row r="60" spans="4:19" ht="20.45" customHeight="1" thickTop="1" thickBot="1" x14ac:dyDescent="0.3">
      <c r="D60" s="808" t="s">
        <v>7</v>
      </c>
      <c r="E60" s="809"/>
      <c r="F60" s="403" t="s">
        <v>174</v>
      </c>
      <c r="G60" s="404"/>
      <c r="H60" s="404"/>
      <c r="I60" s="404"/>
      <c r="J60" s="404"/>
      <c r="K60" s="404"/>
      <c r="L60" s="404"/>
      <c r="M60" s="404"/>
      <c r="N60" s="404"/>
      <c r="O60" s="404"/>
      <c r="P60" s="404"/>
      <c r="Q60" s="404"/>
      <c r="R60" s="404"/>
      <c r="S60" s="405"/>
    </row>
    <row r="61" spans="4:19" s="6" customFormat="1" ht="5.45" customHeight="1" x14ac:dyDescent="0.25">
      <c r="D61" s="44"/>
      <c r="E61" s="44"/>
      <c r="F61" s="46"/>
      <c r="G61" s="46"/>
      <c r="H61" s="46"/>
      <c r="I61" s="46"/>
      <c r="J61" s="47"/>
      <c r="K61" s="47"/>
      <c r="L61" s="47"/>
      <c r="M61" s="47"/>
      <c r="N61" s="47"/>
      <c r="O61" s="47"/>
      <c r="P61" s="47"/>
      <c r="Q61" s="47"/>
      <c r="R61" s="47"/>
      <c r="S61" s="47"/>
    </row>
    <row r="62" spans="4:19" s="6" customFormat="1" ht="17.45" customHeight="1" x14ac:dyDescent="0.25">
      <c r="D62" s="136">
        <v>6</v>
      </c>
      <c r="E62" s="399" t="s">
        <v>346</v>
      </c>
      <c r="F62" s="399"/>
      <c r="G62" s="399"/>
      <c r="H62" s="399"/>
      <c r="I62" s="399"/>
      <c r="J62" s="399"/>
      <c r="K62" s="399"/>
      <c r="L62" s="399"/>
      <c r="M62" s="399"/>
      <c r="N62" s="399"/>
      <c r="O62" s="399"/>
      <c r="P62" s="399"/>
      <c r="Q62" s="399"/>
      <c r="R62" s="137">
        <v>6</v>
      </c>
      <c r="S62" s="301">
        <v>0</v>
      </c>
    </row>
    <row r="63" spans="4:19" s="6" customFormat="1" ht="6" customHeight="1" x14ac:dyDescent="0.25">
      <c r="D63" s="29"/>
      <c r="E63" s="29"/>
      <c r="F63" s="20"/>
      <c r="G63" s="20"/>
      <c r="H63" s="20"/>
      <c r="I63" s="20"/>
      <c r="J63" s="20"/>
      <c r="K63" s="20"/>
      <c r="L63" s="20"/>
      <c r="M63" s="17"/>
      <c r="N63" s="20"/>
      <c r="O63" s="20"/>
      <c r="P63" s="17"/>
      <c r="Q63" s="17"/>
      <c r="R63" s="17"/>
      <c r="S63" s="17"/>
    </row>
    <row r="64" spans="4:19" s="6" customFormat="1" ht="17.45" customHeight="1" x14ac:dyDescent="0.25">
      <c r="D64" s="136">
        <v>7</v>
      </c>
      <c r="E64" s="399" t="s">
        <v>347</v>
      </c>
      <c r="F64" s="399"/>
      <c r="G64" s="399"/>
      <c r="H64" s="399"/>
      <c r="I64" s="399"/>
      <c r="J64" s="399"/>
      <c r="K64" s="399"/>
      <c r="L64" s="399"/>
      <c r="M64" s="399"/>
      <c r="N64" s="399"/>
      <c r="O64" s="399"/>
      <c r="P64" s="399"/>
      <c r="Q64" s="399"/>
      <c r="R64" s="137">
        <v>7</v>
      </c>
      <c r="S64" s="301">
        <v>0</v>
      </c>
    </row>
    <row r="65" spans="4:19" s="6" customFormat="1" ht="6" customHeight="1" x14ac:dyDescent="0.25">
      <c r="D65" s="29"/>
      <c r="E65" s="29"/>
      <c r="F65" s="20"/>
      <c r="G65" s="20"/>
      <c r="H65" s="20"/>
      <c r="I65" s="20"/>
      <c r="J65" s="20"/>
      <c r="K65" s="20"/>
      <c r="L65" s="20"/>
      <c r="M65" s="17"/>
      <c r="N65" s="20"/>
      <c r="O65" s="20"/>
      <c r="P65" s="17"/>
      <c r="Q65" s="17"/>
      <c r="R65" s="17"/>
      <c r="S65" s="17"/>
    </row>
    <row r="66" spans="4:19" s="6" customFormat="1" ht="17.45" customHeight="1" x14ac:dyDescent="0.25">
      <c r="D66" s="136">
        <v>8</v>
      </c>
      <c r="E66" s="399" t="s">
        <v>348</v>
      </c>
      <c r="F66" s="399"/>
      <c r="G66" s="399"/>
      <c r="H66" s="399"/>
      <c r="I66" s="399"/>
      <c r="J66" s="399"/>
      <c r="K66" s="399"/>
      <c r="L66" s="399"/>
      <c r="M66" s="399"/>
      <c r="N66" s="399"/>
      <c r="O66" s="399"/>
      <c r="P66" s="399"/>
      <c r="Q66" s="399"/>
      <c r="R66" s="137">
        <v>8</v>
      </c>
      <c r="S66" s="301">
        <v>0</v>
      </c>
    </row>
    <row r="67" spans="4:19" ht="5.45" customHeight="1" x14ac:dyDescent="0.25">
      <c r="D67" s="139"/>
      <c r="E67" s="183"/>
      <c r="F67" s="183"/>
      <c r="G67" s="183"/>
      <c r="H67" s="183"/>
      <c r="I67" s="183"/>
      <c r="J67" s="183"/>
      <c r="K67" s="183"/>
      <c r="L67" s="183"/>
      <c r="M67" s="183"/>
      <c r="N67" s="183"/>
      <c r="O67" s="183"/>
      <c r="P67" s="183"/>
      <c r="Q67" s="183"/>
      <c r="R67" s="140"/>
      <c r="S67" s="140"/>
    </row>
    <row r="68" spans="4:19" s="6" customFormat="1" ht="17.45" customHeight="1" x14ac:dyDescent="0.25">
      <c r="D68" s="136" t="s">
        <v>131</v>
      </c>
      <c r="E68" s="399" t="s">
        <v>349</v>
      </c>
      <c r="F68" s="399"/>
      <c r="G68" s="399"/>
      <c r="H68" s="399"/>
      <c r="I68" s="399"/>
      <c r="J68" s="399"/>
      <c r="K68" s="399"/>
      <c r="L68" s="399"/>
      <c r="M68" s="399"/>
      <c r="N68" s="399"/>
      <c r="O68" s="399"/>
      <c r="P68" s="399"/>
      <c r="Q68" s="399"/>
      <c r="R68" s="137" t="s">
        <v>131</v>
      </c>
      <c r="S68" s="129" t="s">
        <v>169</v>
      </c>
    </row>
    <row r="69" spans="4:19" s="6" customFormat="1" ht="6" customHeight="1" thickBot="1" x14ac:dyDescent="0.3">
      <c r="D69" s="29"/>
      <c r="E69" s="29"/>
      <c r="F69" s="20"/>
      <c r="G69" s="20"/>
      <c r="H69" s="20"/>
      <c r="I69" s="20"/>
      <c r="J69" s="20"/>
      <c r="K69" s="20"/>
      <c r="L69" s="20"/>
      <c r="M69" s="17"/>
      <c r="N69" s="20"/>
      <c r="O69" s="20"/>
      <c r="P69" s="17"/>
      <c r="Q69" s="17"/>
      <c r="R69" s="17"/>
      <c r="S69" s="17"/>
    </row>
    <row r="70" spans="4:19" ht="42.6" customHeight="1" thickTop="1" thickBot="1" x14ac:dyDescent="0.3">
      <c r="D70" s="795" t="s">
        <v>345</v>
      </c>
      <c r="E70" s="796"/>
      <c r="F70" s="796"/>
      <c r="G70" s="796"/>
      <c r="H70" s="796"/>
      <c r="I70" s="796"/>
      <c r="J70" s="796"/>
      <c r="K70" s="796"/>
      <c r="L70" s="796"/>
      <c r="M70" s="796"/>
      <c r="N70" s="796"/>
      <c r="O70" s="796"/>
      <c r="P70" s="796"/>
      <c r="Q70" s="796"/>
      <c r="R70" s="796"/>
      <c r="S70" s="797"/>
    </row>
    <row r="71" spans="4:19" ht="13.9" customHeight="1" thickTop="1" x14ac:dyDescent="0.25">
      <c r="D71" s="834"/>
      <c r="E71" s="835"/>
      <c r="F71" s="835"/>
      <c r="G71" s="835"/>
      <c r="H71" s="835"/>
      <c r="I71" s="835"/>
      <c r="J71" s="835"/>
      <c r="K71" s="835"/>
      <c r="L71" s="835"/>
      <c r="M71" s="835"/>
      <c r="N71" s="835"/>
      <c r="O71" s="835"/>
      <c r="P71" s="835"/>
      <c r="Q71" s="835"/>
      <c r="R71" s="835"/>
      <c r="S71" s="836"/>
    </row>
    <row r="72" spans="4:19" x14ac:dyDescent="0.25">
      <c r="D72" s="837"/>
      <c r="E72" s="838"/>
      <c r="F72" s="838"/>
      <c r="G72" s="838"/>
      <c r="H72" s="838"/>
      <c r="I72" s="838"/>
      <c r="J72" s="838"/>
      <c r="K72" s="838"/>
      <c r="L72" s="838"/>
      <c r="M72" s="838"/>
      <c r="N72" s="838"/>
      <c r="O72" s="838"/>
      <c r="P72" s="838"/>
      <c r="Q72" s="838"/>
      <c r="R72" s="838"/>
      <c r="S72" s="839"/>
    </row>
    <row r="73" spans="4:19" x14ac:dyDescent="0.25">
      <c r="D73" s="837"/>
      <c r="E73" s="838"/>
      <c r="F73" s="838"/>
      <c r="G73" s="838"/>
      <c r="H73" s="838"/>
      <c r="I73" s="838"/>
      <c r="J73" s="838"/>
      <c r="K73" s="838"/>
      <c r="L73" s="838"/>
      <c r="M73" s="838"/>
      <c r="N73" s="838"/>
      <c r="O73" s="838"/>
      <c r="P73" s="838"/>
      <c r="Q73" s="838"/>
      <c r="R73" s="838"/>
      <c r="S73" s="839"/>
    </row>
    <row r="74" spans="4:19" ht="15.75" thickBot="1" x14ac:dyDescent="0.3">
      <c r="D74" s="840"/>
      <c r="E74" s="841"/>
      <c r="F74" s="841"/>
      <c r="G74" s="841"/>
      <c r="H74" s="841"/>
      <c r="I74" s="841"/>
      <c r="J74" s="841"/>
      <c r="K74" s="841"/>
      <c r="L74" s="841"/>
      <c r="M74" s="841"/>
      <c r="N74" s="841"/>
      <c r="O74" s="841"/>
      <c r="P74" s="841"/>
      <c r="Q74" s="841"/>
      <c r="R74" s="841"/>
      <c r="S74" s="842"/>
    </row>
    <row r="75" spans="4:19" ht="33" customHeight="1" thickBot="1" x14ac:dyDescent="0.3">
      <c r="D75" s="807"/>
      <c r="E75" s="807"/>
      <c r="F75" s="807"/>
      <c r="G75" s="807"/>
      <c r="H75" s="807"/>
      <c r="I75" s="807"/>
      <c r="J75" s="807"/>
      <c r="K75" s="807"/>
      <c r="L75" s="807"/>
      <c r="M75" s="807"/>
      <c r="N75" s="807"/>
      <c r="O75" s="807"/>
      <c r="P75" s="807"/>
      <c r="Q75" s="807"/>
      <c r="R75" s="807"/>
      <c r="S75" s="807"/>
    </row>
    <row r="76" spans="4:19" ht="20.45" customHeight="1" thickTop="1" thickBot="1" x14ac:dyDescent="0.3">
      <c r="D76" s="843" t="s">
        <v>8</v>
      </c>
      <c r="E76" s="844"/>
      <c r="F76" s="404" t="s">
        <v>350</v>
      </c>
      <c r="G76" s="404"/>
      <c r="H76" s="404"/>
      <c r="I76" s="404"/>
      <c r="J76" s="404"/>
      <c r="K76" s="404"/>
      <c r="L76" s="404"/>
      <c r="M76" s="404"/>
      <c r="N76" s="404"/>
      <c r="O76" s="404"/>
      <c r="P76" s="404"/>
      <c r="Q76" s="404"/>
      <c r="R76" s="404"/>
      <c r="S76" s="405"/>
    </row>
    <row r="77" spans="4:19" s="6" customFormat="1" ht="5.45" customHeight="1" thickTop="1" x14ac:dyDescent="0.25">
      <c r="D77" s="44"/>
      <c r="E77" s="44"/>
      <c r="F77" s="46"/>
      <c r="G77" s="46"/>
      <c r="H77" s="46"/>
      <c r="I77" s="46"/>
      <c r="J77" s="47"/>
      <c r="K77" s="47"/>
      <c r="L77" s="47"/>
      <c r="M77" s="47"/>
      <c r="N77" s="47"/>
      <c r="O77" s="47"/>
      <c r="P77" s="47"/>
      <c r="Q77" s="47"/>
      <c r="R77" s="47"/>
      <c r="S77" s="47"/>
    </row>
    <row r="78" spans="4:19" s="6" customFormat="1" ht="15" customHeight="1" x14ac:dyDescent="0.25">
      <c r="D78" s="136">
        <v>9</v>
      </c>
      <c r="E78" s="399" t="s">
        <v>351</v>
      </c>
      <c r="F78" s="399"/>
      <c r="G78" s="399"/>
      <c r="H78" s="399"/>
      <c r="I78" s="399"/>
      <c r="J78"/>
      <c r="K78" s="295" t="s">
        <v>361</v>
      </c>
      <c r="L78" s="184"/>
      <c r="M78" s="184"/>
      <c r="N78" s="184"/>
      <c r="O78" s="184"/>
      <c r="P78" s="810" t="s">
        <v>175</v>
      </c>
      <c r="Q78" s="689"/>
      <c r="R78" s="137" t="s">
        <v>176</v>
      </c>
      <c r="S78" s="304"/>
    </row>
    <row r="79" spans="4:19" s="6" customFormat="1" ht="16.149999999999999" customHeight="1" thickBot="1" x14ac:dyDescent="0.3">
      <c r="D79" s="136"/>
      <c r="E79" s="811"/>
      <c r="F79" s="811"/>
      <c r="G79" s="811"/>
      <c r="H79" s="811"/>
      <c r="I79" s="811"/>
      <c r="J79" s="143"/>
      <c r="K79" s="143"/>
      <c r="L79" s="143"/>
      <c r="M79" s="143"/>
      <c r="N79" s="143"/>
      <c r="O79" s="143"/>
      <c r="P79" s="185"/>
      <c r="Q79" s="143"/>
      <c r="R79" s="137"/>
      <c r="S79" s="137"/>
    </row>
    <row r="80" spans="4:19" s="6" customFormat="1" ht="15" customHeight="1" thickBot="1" x14ac:dyDescent="0.3">
      <c r="D80" s="136"/>
      <c r="E80" s="811"/>
      <c r="F80" s="811"/>
      <c r="G80" s="811"/>
      <c r="H80" s="811"/>
      <c r="I80" s="811"/>
      <c r="J80" s="143"/>
      <c r="K80" s="186" t="s">
        <v>177</v>
      </c>
      <c r="L80" s="812">
        <v>0</v>
      </c>
      <c r="M80" s="813"/>
      <c r="N80" s="143"/>
      <c r="O80" s="143"/>
      <c r="P80" s="814" t="s">
        <v>178</v>
      </c>
      <c r="Q80" s="756"/>
      <c r="R80" s="69" t="s">
        <v>179</v>
      </c>
      <c r="S80" s="304"/>
    </row>
    <row r="81" spans="2:19" s="6" customFormat="1" ht="6" customHeight="1" x14ac:dyDescent="0.25">
      <c r="D81" s="29"/>
      <c r="E81" s="29"/>
      <c r="F81" s="20"/>
      <c r="G81" s="20"/>
      <c r="H81" s="20"/>
      <c r="I81" s="20"/>
      <c r="J81" s="20"/>
      <c r="K81" s="294" t="s">
        <v>358</v>
      </c>
      <c r="L81" s="20"/>
      <c r="M81" s="17"/>
      <c r="N81" s="20"/>
      <c r="O81" s="20"/>
      <c r="P81" s="17"/>
      <c r="Q81" s="17"/>
      <c r="R81" s="17"/>
      <c r="S81" s="17"/>
    </row>
    <row r="82" spans="2:19" s="6" customFormat="1" ht="17.45" customHeight="1" x14ac:dyDescent="0.25">
      <c r="D82" s="136">
        <v>10</v>
      </c>
      <c r="E82" s="399" t="s">
        <v>337</v>
      </c>
      <c r="F82" s="399"/>
      <c r="G82" s="399"/>
      <c r="H82" s="399"/>
      <c r="I82" s="399"/>
      <c r="J82" s="399"/>
      <c r="K82" s="399"/>
      <c r="L82" s="399"/>
      <c r="M82" s="399"/>
      <c r="N82" s="399"/>
      <c r="O82" s="399"/>
      <c r="P82" s="399"/>
      <c r="Q82" s="399"/>
      <c r="R82" s="137">
        <v>10</v>
      </c>
      <c r="S82" s="303" t="s">
        <v>169</v>
      </c>
    </row>
    <row r="83" spans="2:19" s="6" customFormat="1" ht="6" customHeight="1" x14ac:dyDescent="0.25">
      <c r="D83" s="29"/>
      <c r="E83" s="29"/>
      <c r="F83" s="20"/>
      <c r="G83" s="20"/>
      <c r="H83" s="20"/>
      <c r="I83" s="20"/>
      <c r="J83" s="20"/>
      <c r="K83" s="20"/>
      <c r="L83" s="20"/>
      <c r="M83" s="17"/>
      <c r="N83" s="20"/>
      <c r="O83" s="20"/>
      <c r="P83" s="17"/>
      <c r="Q83" s="17"/>
      <c r="R83" s="17"/>
      <c r="S83" s="17"/>
    </row>
    <row r="84" spans="2:19" s="6" customFormat="1" ht="17.45" customHeight="1" x14ac:dyDescent="0.25">
      <c r="D84" s="136" t="s">
        <v>180</v>
      </c>
      <c r="E84" s="399" t="s">
        <v>360</v>
      </c>
      <c r="F84" s="399"/>
      <c r="G84" s="399"/>
      <c r="H84" s="399"/>
      <c r="I84" s="399"/>
      <c r="J84" s="399"/>
      <c r="K84" s="399"/>
      <c r="L84" s="399"/>
      <c r="M84" s="399"/>
      <c r="N84" s="399"/>
      <c r="O84" s="399"/>
      <c r="P84" s="399"/>
      <c r="Q84" s="399"/>
      <c r="R84" s="137" t="s">
        <v>180</v>
      </c>
      <c r="S84" s="303" t="s">
        <v>169</v>
      </c>
    </row>
    <row r="85" spans="2:19" s="6" customFormat="1" ht="6" customHeight="1" x14ac:dyDescent="0.25">
      <c r="D85" s="29"/>
      <c r="E85" s="29"/>
      <c r="F85" s="20"/>
      <c r="G85" s="20"/>
      <c r="H85" s="20"/>
      <c r="I85" s="20"/>
      <c r="J85" s="20"/>
      <c r="K85" s="20"/>
      <c r="L85" s="20"/>
      <c r="M85" s="17"/>
      <c r="N85" s="20"/>
      <c r="O85" s="20"/>
      <c r="P85" s="17"/>
      <c r="Q85" s="17"/>
      <c r="R85" s="17"/>
      <c r="S85" s="17"/>
    </row>
    <row r="86" spans="2:19" s="6" customFormat="1" ht="17.45" customHeight="1" x14ac:dyDescent="0.25">
      <c r="D86" s="141">
        <v>11</v>
      </c>
      <c r="E86" s="522" t="s">
        <v>359</v>
      </c>
      <c r="F86" s="522"/>
      <c r="G86" s="522"/>
      <c r="H86" s="522"/>
      <c r="I86" s="522"/>
      <c r="J86" s="522"/>
      <c r="K86" s="522"/>
      <c r="L86" s="522"/>
      <c r="M86" s="522"/>
      <c r="N86" s="522"/>
      <c r="O86" s="522"/>
      <c r="P86" s="522"/>
      <c r="Q86" s="522"/>
      <c r="R86" s="137">
        <v>11</v>
      </c>
      <c r="S86" s="303" t="s">
        <v>169</v>
      </c>
    </row>
    <row r="87" spans="2:19" s="6" customFormat="1" ht="6" customHeight="1" x14ac:dyDescent="0.25">
      <c r="D87" s="29"/>
      <c r="E87" s="29"/>
      <c r="F87" s="20"/>
      <c r="G87" s="20"/>
      <c r="H87" s="20"/>
      <c r="I87" s="20"/>
      <c r="J87" s="20"/>
      <c r="K87" s="20"/>
      <c r="L87" s="20"/>
      <c r="M87" s="17"/>
      <c r="N87" s="20"/>
      <c r="O87" s="20"/>
      <c r="P87" s="17"/>
      <c r="Q87" s="17"/>
      <c r="R87" s="17"/>
      <c r="S87" s="17"/>
    </row>
    <row r="88" spans="2:19" s="6" customFormat="1" ht="17.45" customHeight="1" x14ac:dyDescent="0.25">
      <c r="D88" s="136">
        <v>12</v>
      </c>
      <c r="E88" s="399" t="s">
        <v>181</v>
      </c>
      <c r="F88" s="399"/>
      <c r="G88" s="399"/>
      <c r="H88" s="399"/>
      <c r="I88" s="399"/>
      <c r="J88" s="399"/>
      <c r="K88" s="399"/>
      <c r="L88" s="399"/>
      <c r="M88" s="399"/>
      <c r="N88" s="399"/>
      <c r="O88" s="399"/>
      <c r="P88" s="399"/>
      <c r="Q88" s="399"/>
      <c r="R88" s="137">
        <v>12</v>
      </c>
      <c r="S88" s="303" t="s">
        <v>169</v>
      </c>
    </row>
    <row r="89" spans="2:19" ht="13.5" customHeight="1" x14ac:dyDescent="0.25">
      <c r="D89" s="139"/>
      <c r="E89" s="833" t="s">
        <v>182</v>
      </c>
      <c r="F89" s="833"/>
      <c r="G89" s="833"/>
      <c r="H89" s="833"/>
      <c r="I89" s="833"/>
      <c r="J89" s="833"/>
      <c r="K89" s="833"/>
      <c r="L89" s="833"/>
      <c r="M89" s="833"/>
      <c r="N89" s="833"/>
      <c r="O89" s="833"/>
      <c r="P89" s="833"/>
      <c r="Q89" s="833"/>
      <c r="R89" s="140"/>
      <c r="S89" s="140"/>
    </row>
    <row r="90" spans="2:19" ht="8.4499999999999993" customHeight="1" thickBot="1" x14ac:dyDescent="0.3">
      <c r="D90" s="48"/>
      <c r="E90" s="48"/>
      <c r="F90" s="48"/>
      <c r="G90" s="48"/>
      <c r="H90" s="48"/>
      <c r="I90" s="48"/>
      <c r="J90" s="48"/>
      <c r="K90" s="48"/>
      <c r="L90" s="48"/>
      <c r="M90" s="48"/>
      <c r="N90" s="48"/>
      <c r="O90" s="48"/>
      <c r="P90" s="48"/>
      <c r="Q90" s="48"/>
      <c r="R90" s="48"/>
      <c r="S90" s="48"/>
    </row>
    <row r="91" spans="2:19" ht="42.6" customHeight="1" thickTop="1" thickBot="1" x14ac:dyDescent="0.3">
      <c r="D91" s="795" t="s">
        <v>379</v>
      </c>
      <c r="E91" s="796"/>
      <c r="F91" s="796"/>
      <c r="G91" s="796"/>
      <c r="H91" s="796"/>
      <c r="I91" s="796"/>
      <c r="J91" s="796"/>
      <c r="K91" s="796"/>
      <c r="L91" s="796"/>
      <c r="M91" s="796"/>
      <c r="N91" s="796"/>
      <c r="O91" s="796"/>
      <c r="P91" s="796"/>
      <c r="Q91" s="796"/>
      <c r="R91" s="796"/>
      <c r="S91" s="797"/>
    </row>
    <row r="92" spans="2:19" ht="13.9" customHeight="1" thickTop="1" x14ac:dyDescent="0.25">
      <c r="D92" s="834"/>
      <c r="E92" s="835"/>
      <c r="F92" s="835"/>
      <c r="G92" s="835"/>
      <c r="H92" s="835"/>
      <c r="I92" s="835"/>
      <c r="J92" s="835"/>
      <c r="K92" s="835"/>
      <c r="L92" s="835"/>
      <c r="M92" s="835"/>
      <c r="N92" s="835"/>
      <c r="O92" s="835"/>
      <c r="P92" s="835"/>
      <c r="Q92" s="835"/>
      <c r="R92" s="835"/>
      <c r="S92" s="836"/>
    </row>
    <row r="93" spans="2:19" x14ac:dyDescent="0.25">
      <c r="D93" s="837"/>
      <c r="E93" s="838"/>
      <c r="F93" s="838"/>
      <c r="G93" s="838"/>
      <c r="H93" s="838"/>
      <c r="I93" s="838"/>
      <c r="J93" s="838"/>
      <c r="K93" s="838"/>
      <c r="L93" s="838"/>
      <c r="M93" s="838"/>
      <c r="N93" s="838"/>
      <c r="O93" s="838"/>
      <c r="P93" s="838"/>
      <c r="Q93" s="838"/>
      <c r="R93" s="838"/>
      <c r="S93" s="839"/>
    </row>
    <row r="94" spans="2:19" x14ac:dyDescent="0.25">
      <c r="D94" s="837"/>
      <c r="E94" s="838"/>
      <c r="F94" s="838"/>
      <c r="G94" s="838"/>
      <c r="H94" s="838"/>
      <c r="I94" s="838"/>
      <c r="J94" s="838"/>
      <c r="K94" s="838"/>
      <c r="L94" s="838"/>
      <c r="M94" s="838"/>
      <c r="N94" s="838"/>
      <c r="O94" s="838"/>
      <c r="P94" s="838"/>
      <c r="Q94" s="838"/>
      <c r="R94" s="838"/>
      <c r="S94" s="839"/>
    </row>
    <row r="95" spans="2:19" ht="15.75" thickBot="1" x14ac:dyDescent="0.3">
      <c r="D95" s="840"/>
      <c r="E95" s="841"/>
      <c r="F95" s="841"/>
      <c r="G95" s="841"/>
      <c r="H95" s="841"/>
      <c r="I95" s="841"/>
      <c r="J95" s="841"/>
      <c r="K95" s="841"/>
      <c r="L95" s="841"/>
      <c r="M95" s="841"/>
      <c r="N95" s="841"/>
      <c r="O95" s="841"/>
      <c r="P95" s="841"/>
      <c r="Q95" s="841"/>
      <c r="R95" s="841"/>
      <c r="S95" s="842"/>
    </row>
    <row r="96" spans="2:19" ht="20.45" customHeight="1" thickTop="1" thickBot="1" x14ac:dyDescent="0.3">
      <c r="B96" s="386" t="s">
        <v>415</v>
      </c>
      <c r="D96" s="401" t="s">
        <v>9</v>
      </c>
      <c r="E96" s="402"/>
      <c r="F96" s="403" t="s">
        <v>183</v>
      </c>
      <c r="G96" s="404"/>
      <c r="H96" s="404"/>
      <c r="I96" s="404"/>
      <c r="J96" s="404"/>
      <c r="K96" s="404"/>
      <c r="L96" s="404"/>
      <c r="M96" s="404"/>
      <c r="N96" s="404"/>
      <c r="O96" s="404"/>
      <c r="P96" s="404"/>
      <c r="Q96" s="404"/>
      <c r="R96" s="404"/>
      <c r="S96" s="405"/>
    </row>
    <row r="97" spans="1:19" s="6" customFormat="1" ht="5.45" customHeight="1" x14ac:dyDescent="0.25">
      <c r="A97" s="3"/>
      <c r="B97" s="387"/>
      <c r="C97" s="3"/>
      <c r="D97" s="44"/>
      <c r="E97" s="44"/>
      <c r="F97" s="46"/>
      <c r="G97" s="46"/>
      <c r="H97" s="46"/>
      <c r="I97" s="46"/>
      <c r="J97" s="47"/>
      <c r="K97" s="47"/>
      <c r="L97" s="47"/>
      <c r="M97" s="47"/>
      <c r="N97" s="47"/>
      <c r="O97" s="47"/>
      <c r="P97" s="47"/>
      <c r="Q97" s="47"/>
      <c r="R97" s="47"/>
      <c r="S97" s="47"/>
    </row>
    <row r="98" spans="1:19" ht="40.5" customHeight="1" x14ac:dyDescent="0.25">
      <c r="B98" s="387"/>
      <c r="D98" s="823" t="s">
        <v>267</v>
      </c>
      <c r="E98" s="823"/>
      <c r="F98" s="823"/>
      <c r="G98" s="823"/>
      <c r="H98" s="823"/>
      <c r="I98" s="823"/>
      <c r="J98" s="823"/>
      <c r="K98" s="823"/>
      <c r="L98" s="823"/>
      <c r="M98" s="823"/>
      <c r="N98" s="823"/>
      <c r="O98" s="823"/>
      <c r="P98" s="823"/>
      <c r="Q98" s="823"/>
      <c r="R98" s="823"/>
      <c r="S98" s="823"/>
    </row>
    <row r="99" spans="1:19" ht="15.75" thickBot="1" x14ac:dyDescent="0.3">
      <c r="B99" s="387"/>
      <c r="D99"/>
      <c r="E99"/>
      <c r="F99"/>
      <c r="G99"/>
      <c r="H99"/>
      <c r="I99"/>
      <c r="J99"/>
      <c r="K99"/>
      <c r="L99"/>
      <c r="M99"/>
      <c r="N99"/>
      <c r="O99"/>
      <c r="P99"/>
      <c r="Q99"/>
      <c r="R99"/>
      <c r="S99"/>
    </row>
    <row r="100" spans="1:19" ht="18" customHeight="1" thickBot="1" x14ac:dyDescent="0.3">
      <c r="B100" s="387"/>
      <c r="D100" s="662" t="s">
        <v>151</v>
      </c>
      <c r="E100" s="663"/>
      <c r="F100" s="664"/>
      <c r="G100" s="665"/>
      <c r="H100" s="665"/>
      <c r="I100" s="666"/>
      <c r="J100"/>
      <c r="K100" s="188"/>
      <c r="L100" s="188" t="s">
        <v>184</v>
      </c>
      <c r="M100" s="824"/>
      <c r="N100" s="825"/>
      <c r="O100" s="825"/>
      <c r="P100" s="825"/>
      <c r="Q100" s="825"/>
      <c r="R100" s="826"/>
      <c r="S100"/>
    </row>
    <row r="101" spans="1:19" ht="15" customHeight="1" thickBot="1" x14ac:dyDescent="0.3">
      <c r="B101" s="387"/>
      <c r="D101" s="662" t="s">
        <v>1341</v>
      </c>
      <c r="E101" s="662"/>
      <c r="F101" s="376"/>
      <c r="G101" s="376"/>
      <c r="H101" s="376"/>
      <c r="I101"/>
      <c r="J101"/>
      <c r="K101"/>
      <c r="L101"/>
      <c r="M101" s="832" t="s">
        <v>362</v>
      </c>
      <c r="N101" s="832"/>
      <c r="O101" s="832"/>
      <c r="P101" s="832"/>
      <c r="Q101" s="832"/>
      <c r="R101" s="832"/>
      <c r="S101"/>
    </row>
    <row r="102" spans="1:19" ht="21" customHeight="1" thickBot="1" x14ac:dyDescent="0.3">
      <c r="B102" s="387"/>
      <c r="D102"/>
      <c r="E102" s="187" t="s">
        <v>152</v>
      </c>
      <c r="F102" s="664"/>
      <c r="G102" s="665"/>
      <c r="H102" s="665"/>
      <c r="I102" s="666"/>
      <c r="J102"/>
      <c r="K102"/>
      <c r="L102"/>
      <c r="M102"/>
      <c r="N102"/>
      <c r="O102"/>
      <c r="P102"/>
      <c r="Q102"/>
      <c r="R102"/>
      <c r="S102"/>
    </row>
    <row r="103" spans="1:19" ht="6" customHeight="1" thickBot="1" x14ac:dyDescent="0.3">
      <c r="B103" s="387"/>
      <c r="D103"/>
      <c r="E103"/>
      <c r="F103"/>
      <c r="G103"/>
      <c r="H103"/>
      <c r="I103"/>
      <c r="J103"/>
      <c r="K103"/>
      <c r="L103"/>
      <c r="M103"/>
      <c r="N103"/>
      <c r="O103"/>
      <c r="P103"/>
      <c r="Q103"/>
      <c r="R103"/>
      <c r="S103"/>
    </row>
    <row r="104" spans="1:19" ht="17.45" customHeight="1" thickBot="1" x14ac:dyDescent="0.3">
      <c r="B104" s="388"/>
      <c r="D104"/>
      <c r="E104" s="187" t="s">
        <v>51</v>
      </c>
      <c r="F104" s="822"/>
      <c r="G104" s="666"/>
      <c r="H104"/>
      <c r="I104"/>
      <c r="J104"/>
      <c r="K104"/>
      <c r="L104"/>
      <c r="M104"/>
      <c r="N104"/>
      <c r="O104"/>
      <c r="P104"/>
      <c r="Q104"/>
      <c r="R104"/>
      <c r="S104"/>
    </row>
    <row r="105" spans="1:19" ht="15.75" thickTop="1" x14ac:dyDescent="0.25">
      <c r="D105"/>
      <c r="E105"/>
      <c r="F105"/>
      <c r="G105"/>
      <c r="H105"/>
      <c r="I105"/>
      <c r="J105"/>
      <c r="K105"/>
      <c r="L105"/>
      <c r="M105"/>
      <c r="N105"/>
      <c r="O105"/>
      <c r="P105"/>
      <c r="Q105"/>
      <c r="R105"/>
      <c r="S105"/>
    </row>
    <row r="106" spans="1:19" ht="15.75" thickBot="1" x14ac:dyDescent="0.3">
      <c r="D106" s="807"/>
      <c r="E106" s="807"/>
      <c r="F106" s="807"/>
      <c r="G106" s="807"/>
      <c r="H106" s="807"/>
      <c r="I106" s="807"/>
      <c r="J106" s="807"/>
      <c r="K106" s="807"/>
      <c r="L106" s="807"/>
      <c r="M106" s="807"/>
      <c r="N106" s="807"/>
      <c r="O106" s="807"/>
      <c r="P106" s="807"/>
      <c r="Q106" s="807"/>
      <c r="R106" s="807"/>
      <c r="S106" s="807"/>
    </row>
    <row r="107" spans="1:19" ht="7.15" customHeight="1" thickTop="1" x14ac:dyDescent="0.25">
      <c r="D107" s="163"/>
      <c r="E107" s="163"/>
      <c r="F107" s="163"/>
      <c r="G107" s="163"/>
      <c r="H107" s="163"/>
      <c r="I107" s="163"/>
      <c r="J107" s="163"/>
      <c r="K107" s="163"/>
      <c r="L107" s="163"/>
      <c r="M107" s="163"/>
      <c r="N107" s="163"/>
      <c r="O107" s="163"/>
      <c r="P107" s="163"/>
      <c r="Q107" s="163"/>
      <c r="R107" s="163"/>
      <c r="S107" s="163"/>
    </row>
    <row r="108" spans="1:19" x14ac:dyDescent="0.25">
      <c r="D108"/>
      <c r="E108" s="188" t="s">
        <v>153</v>
      </c>
      <c r="F108" s="815"/>
      <c r="G108" s="815"/>
      <c r="H108"/>
      <c r="I108"/>
      <c r="J108"/>
      <c r="K108"/>
      <c r="L108"/>
      <c r="M108"/>
      <c r="N108"/>
      <c r="O108"/>
      <c r="P108"/>
      <c r="Q108"/>
      <c r="R108"/>
      <c r="S108"/>
    </row>
    <row r="109" spans="1:19" ht="16.149999999999999" customHeight="1" x14ac:dyDescent="0.25">
      <c r="D109"/>
      <c r="E109" s="188" t="s">
        <v>154</v>
      </c>
      <c r="F109" s="830"/>
      <c r="G109" s="830"/>
      <c r="H109"/>
      <c r="I109"/>
      <c r="J109"/>
      <c r="K109"/>
      <c r="L109"/>
      <c r="M109"/>
      <c r="N109"/>
      <c r="O109"/>
      <c r="P109"/>
      <c r="Q109"/>
      <c r="R109"/>
      <c r="S109"/>
    </row>
    <row r="110" spans="1:19" x14ac:dyDescent="0.25">
      <c r="D110"/>
      <c r="E110"/>
      <c r="F110"/>
      <c r="G110"/>
      <c r="H110"/>
      <c r="I110"/>
      <c r="J110"/>
      <c r="K110"/>
      <c r="L110"/>
      <c r="M110"/>
      <c r="N110"/>
      <c r="O110"/>
      <c r="P110"/>
      <c r="Q110"/>
      <c r="R110"/>
      <c r="S110"/>
    </row>
    <row r="111" spans="1:19" x14ac:dyDescent="0.25">
      <c r="D111"/>
      <c r="E111" s="2" t="s">
        <v>185</v>
      </c>
      <c r="F111"/>
      <c r="G111"/>
      <c r="H111"/>
      <c r="I111"/>
      <c r="J111"/>
      <c r="K111"/>
      <c r="L111" s="815"/>
      <c r="M111" s="815"/>
      <c r="N111" s="815"/>
      <c r="O111" s="815"/>
      <c r="P111" s="815"/>
      <c r="Q111" s="815"/>
      <c r="R111"/>
      <c r="S111" s="2" t="s">
        <v>186</v>
      </c>
    </row>
    <row r="112" spans="1:19" ht="27" customHeight="1" x14ac:dyDescent="0.25">
      <c r="D112"/>
      <c r="E112" s="816" t="s">
        <v>187</v>
      </c>
      <c r="F112" s="816"/>
      <c r="G112" s="816"/>
      <c r="H112" s="816"/>
      <c r="I112" s="816"/>
      <c r="J112" s="816"/>
      <c r="K112" s="816"/>
      <c r="L112" s="816"/>
      <c r="M112" s="816"/>
      <c r="N112" s="816"/>
      <c r="O112" s="816"/>
      <c r="P112" s="816"/>
      <c r="Q112" s="816"/>
      <c r="R112" s="816"/>
      <c r="S112" s="816"/>
    </row>
    <row r="113" spans="4:19" x14ac:dyDescent="0.25">
      <c r="D113"/>
      <c r="E113"/>
      <c r="F113"/>
      <c r="G113"/>
      <c r="H113"/>
      <c r="I113"/>
      <c r="J113"/>
      <c r="K113"/>
      <c r="L113"/>
      <c r="M113"/>
      <c r="N113"/>
      <c r="O113"/>
      <c r="P113"/>
      <c r="Q113"/>
      <c r="R113"/>
      <c r="S113"/>
    </row>
    <row r="114" spans="4:19" x14ac:dyDescent="0.25">
      <c r="D114"/>
      <c r="E114" s="2" t="s">
        <v>188</v>
      </c>
      <c r="F114"/>
      <c r="G114"/>
      <c r="H114"/>
      <c r="I114"/>
      <c r="J114"/>
      <c r="K114"/>
      <c r="L114"/>
      <c r="M114"/>
      <c r="N114"/>
      <c r="O114"/>
      <c r="P114"/>
      <c r="Q114"/>
      <c r="R114"/>
      <c r="S114"/>
    </row>
    <row r="115" spans="4:19" ht="3" customHeight="1" x14ac:dyDescent="0.25">
      <c r="D115"/>
      <c r="E115"/>
      <c r="F115"/>
      <c r="G115"/>
      <c r="H115"/>
      <c r="I115"/>
      <c r="J115"/>
      <c r="K115"/>
      <c r="L115"/>
      <c r="M115"/>
      <c r="N115"/>
      <c r="O115"/>
      <c r="P115"/>
      <c r="Q115"/>
      <c r="R115"/>
      <c r="S115"/>
    </row>
    <row r="116" spans="4:19" x14ac:dyDescent="0.25">
      <c r="D116"/>
      <c r="E116" s="818" t="s">
        <v>189</v>
      </c>
      <c r="F116" s="818"/>
      <c r="G116" s="818"/>
      <c r="H116" s="818"/>
      <c r="I116" s="818"/>
      <c r="J116" s="818"/>
      <c r="K116" s="818"/>
      <c r="L116"/>
      <c r="M116"/>
      <c r="N116"/>
      <c r="O116"/>
      <c r="P116"/>
      <c r="Q116"/>
      <c r="R116"/>
      <c r="S116"/>
    </row>
    <row r="117" spans="4:19" x14ac:dyDescent="0.25">
      <c r="D117"/>
      <c r="E117" s="818"/>
      <c r="F117" s="818"/>
      <c r="G117" s="818"/>
      <c r="H117" s="818"/>
      <c r="I117" s="818"/>
      <c r="J117" s="818"/>
      <c r="K117" s="818"/>
      <c r="L117"/>
      <c r="M117" s="817"/>
      <c r="N117" s="817"/>
      <c r="O117" s="817"/>
      <c r="P117" s="817"/>
      <c r="Q117" s="817"/>
      <c r="R117" s="817"/>
      <c r="S117"/>
    </row>
    <row r="118" spans="4:19" x14ac:dyDescent="0.25">
      <c r="D118"/>
      <c r="E118" s="818"/>
      <c r="F118" s="818"/>
      <c r="G118" s="818"/>
      <c r="H118" s="818"/>
      <c r="I118" s="818"/>
      <c r="J118" s="818"/>
      <c r="K118" s="818"/>
      <c r="L118"/>
      <c r="M118" s="2" t="s">
        <v>190</v>
      </c>
      <c r="N118"/>
      <c r="O118"/>
      <c r="P118"/>
      <c r="Q118"/>
      <c r="R118"/>
      <c r="S118"/>
    </row>
    <row r="119" spans="4:19" x14ac:dyDescent="0.25">
      <c r="D119"/>
      <c r="E119" s="818"/>
      <c r="F119" s="818"/>
      <c r="G119" s="818"/>
      <c r="H119" s="818"/>
      <c r="I119" s="818"/>
      <c r="J119" s="818"/>
      <c r="K119" s="818"/>
      <c r="L119"/>
      <c r="M119"/>
      <c r="N119"/>
      <c r="O119"/>
      <c r="P119"/>
      <c r="Q119"/>
      <c r="R119"/>
      <c r="S119"/>
    </row>
    <row r="120" spans="4:19" x14ac:dyDescent="0.25">
      <c r="D120"/>
      <c r="E120" s="818"/>
      <c r="F120" s="818"/>
      <c r="G120" s="818"/>
      <c r="H120" s="818"/>
      <c r="I120" s="818"/>
      <c r="J120" s="818"/>
      <c r="K120" s="818"/>
      <c r="L120"/>
      <c r="M120" s="662" t="s">
        <v>191</v>
      </c>
      <c r="N120" s="662"/>
      <c r="O120" s="662"/>
      <c r="P120" s="662"/>
      <c r="Q120" s="305"/>
      <c r="R120"/>
      <c r="S120"/>
    </row>
    <row r="121" spans="4:19" x14ac:dyDescent="0.25">
      <c r="D121"/>
      <c r="E121" s="818"/>
      <c r="F121" s="818"/>
      <c r="G121" s="818"/>
      <c r="H121" s="818"/>
      <c r="I121" s="818"/>
      <c r="J121" s="818"/>
      <c r="K121" s="818"/>
      <c r="L121"/>
      <c r="M121"/>
      <c r="N121"/>
      <c r="O121"/>
      <c r="P121"/>
      <c r="Q121"/>
      <c r="R121"/>
      <c r="S121"/>
    </row>
    <row r="122" spans="4:19" x14ac:dyDescent="0.25">
      <c r="D122"/>
      <c r="E122" s="818"/>
      <c r="F122" s="818"/>
      <c r="G122" s="818"/>
      <c r="H122" s="818"/>
      <c r="I122" s="818"/>
      <c r="J122" s="818"/>
      <c r="K122" s="818"/>
      <c r="L122"/>
      <c r="M122"/>
      <c r="N122"/>
      <c r="O122"/>
      <c r="P122"/>
      <c r="Q122"/>
      <c r="R122"/>
      <c r="S122"/>
    </row>
    <row r="123" spans="4:19" x14ac:dyDescent="0.25">
      <c r="D123"/>
      <c r="E123" s="5"/>
      <c r="F123" s="5"/>
      <c r="G123" s="5"/>
      <c r="H123" s="5"/>
      <c r="I123" s="5"/>
      <c r="J123" s="5"/>
      <c r="K123" s="5"/>
      <c r="L123"/>
      <c r="M123"/>
      <c r="N123"/>
      <c r="O123"/>
      <c r="P123"/>
      <c r="Q123"/>
      <c r="R123"/>
      <c r="S123"/>
    </row>
    <row r="140" spans="4:19" ht="5.45" customHeight="1" thickBot="1" x14ac:dyDescent="0.3">
      <c r="D140" s="14"/>
      <c r="E140" s="14"/>
      <c r="F140" s="14"/>
      <c r="G140" s="14"/>
      <c r="H140" s="14"/>
      <c r="I140" s="14"/>
      <c r="J140" s="14"/>
      <c r="K140" s="14"/>
      <c r="L140" s="14"/>
      <c r="M140" s="14"/>
      <c r="N140" s="14"/>
      <c r="O140" s="14"/>
      <c r="P140" s="14"/>
      <c r="Q140" s="14"/>
      <c r="R140" s="14"/>
      <c r="S140" s="14"/>
    </row>
    <row r="141" spans="4:19" s="6" customFormat="1" ht="16.899999999999999" customHeight="1" thickBot="1" x14ac:dyDescent="0.3">
      <c r="D141" s="593" t="s">
        <v>159</v>
      </c>
      <c r="E141" s="593"/>
      <c r="F141" s="593"/>
      <c r="G141" s="124"/>
      <c r="H141" s="819">
        <v>45291</v>
      </c>
      <c r="I141" s="820"/>
      <c r="J141" s="12"/>
      <c r="K141" s="821" t="s">
        <v>192</v>
      </c>
      <c r="L141" s="821"/>
      <c r="M141" s="821"/>
      <c r="N141" s="827">
        <v>45292</v>
      </c>
      <c r="O141" s="828"/>
      <c r="P141" s="829"/>
    </row>
  </sheetData>
  <sheetProtection algorithmName="SHA-512" hashValue="T0Ie5EHOO9/IY+/n7h3I4Fzd3GdtntbXo8g3O6xeKXIkM1rsBp9OsfJ/LJk57HQRA7LxBmlJK3bqe3b5MZPyCg==" saltValue="XpIDCXeLfSId31Y9euNCBQ==" spinCount="100000" sheet="1" selectLockedCells="1"/>
  <mergeCells count="94">
    <mergeCell ref="D36:S36"/>
    <mergeCell ref="D37:S41"/>
    <mergeCell ref="D42:S42"/>
    <mergeCell ref="E34:Q34"/>
    <mergeCell ref="M101:R101"/>
    <mergeCell ref="E84:Q84"/>
    <mergeCell ref="E86:Q86"/>
    <mergeCell ref="E88:Q88"/>
    <mergeCell ref="E89:Q89"/>
    <mergeCell ref="D91:S91"/>
    <mergeCell ref="D92:S95"/>
    <mergeCell ref="E79:I79"/>
    <mergeCell ref="E82:Q82"/>
    <mergeCell ref="D70:S70"/>
    <mergeCell ref="D71:S74"/>
    <mergeCell ref="D76:E76"/>
    <mergeCell ref="B96:B104"/>
    <mergeCell ref="D141:F141"/>
    <mergeCell ref="H141:I141"/>
    <mergeCell ref="K141:M141"/>
    <mergeCell ref="D106:S106"/>
    <mergeCell ref="F102:I102"/>
    <mergeCell ref="F104:G104"/>
    <mergeCell ref="D98:S98"/>
    <mergeCell ref="D100:E100"/>
    <mergeCell ref="F100:I100"/>
    <mergeCell ref="M100:R100"/>
    <mergeCell ref="D96:E96"/>
    <mergeCell ref="F96:S96"/>
    <mergeCell ref="N141:P141"/>
    <mergeCell ref="F108:G108"/>
    <mergeCell ref="F109:G109"/>
    <mergeCell ref="L111:Q111"/>
    <mergeCell ref="E112:S112"/>
    <mergeCell ref="M117:R117"/>
    <mergeCell ref="M120:P120"/>
    <mergeCell ref="E116:K122"/>
    <mergeCell ref="F76:S76"/>
    <mergeCell ref="E78:I78"/>
    <mergeCell ref="P78:Q78"/>
    <mergeCell ref="D75:S75"/>
    <mergeCell ref="E80:I80"/>
    <mergeCell ref="L80:M80"/>
    <mergeCell ref="P80:Q80"/>
    <mergeCell ref="E51:Q51"/>
    <mergeCell ref="D53:S53"/>
    <mergeCell ref="D54:S58"/>
    <mergeCell ref="D59:S59"/>
    <mergeCell ref="D60:E60"/>
    <mergeCell ref="F60:S60"/>
    <mergeCell ref="D43:E43"/>
    <mergeCell ref="F43:S43"/>
    <mergeCell ref="E45:Q45"/>
    <mergeCell ref="E47:Q47"/>
    <mergeCell ref="E49:Q49"/>
    <mergeCell ref="D18:I18"/>
    <mergeCell ref="E64:Q64"/>
    <mergeCell ref="E66:Q66"/>
    <mergeCell ref="E68:Q68"/>
    <mergeCell ref="E33:Q33"/>
    <mergeCell ref="D20:E20"/>
    <mergeCell ref="F20:S20"/>
    <mergeCell ref="E22:Q22"/>
    <mergeCell ref="E24:Q24"/>
    <mergeCell ref="E25:Q25"/>
    <mergeCell ref="E26:Q26"/>
    <mergeCell ref="E27:Q27"/>
    <mergeCell ref="D29:E29"/>
    <mergeCell ref="F29:S29"/>
    <mergeCell ref="E31:Q31"/>
    <mergeCell ref="E62:Q62"/>
    <mergeCell ref="Q11:R11"/>
    <mergeCell ref="D17:S17"/>
    <mergeCell ref="D16:S16"/>
    <mergeCell ref="D12:E12"/>
    <mergeCell ref="F12:K12"/>
    <mergeCell ref="N12:P12"/>
    <mergeCell ref="R12:S12"/>
    <mergeCell ref="D101:E101"/>
    <mergeCell ref="D3:F3"/>
    <mergeCell ref="D5:F7"/>
    <mergeCell ref="H5:P5"/>
    <mergeCell ref="Q5:S5"/>
    <mergeCell ref="H6:P6"/>
    <mergeCell ref="Q6:S7"/>
    <mergeCell ref="H7:P8"/>
    <mergeCell ref="Q8:S8"/>
    <mergeCell ref="G4:P4"/>
    <mergeCell ref="D19:S19"/>
    <mergeCell ref="D10:E10"/>
    <mergeCell ref="F10:I10"/>
    <mergeCell ref="L10:N10"/>
    <mergeCell ref="R10:S10"/>
    <mergeCell ref="D11:I11"/>
  </mergeCells>
  <conditionalFormatting sqref="J18 O18">
    <cfRule type="cellIs" dxfId="5" priority="13" operator="equal">
      <formula>"✔"</formula>
    </cfRule>
    <cfRule type="cellIs" dxfId="4" priority="14" operator="equal">
      <formula>"✖"</formula>
    </cfRule>
    <cfRule type="expression" dxfId="3" priority="15">
      <formula>StartDate+0=TODAY()</formula>
    </cfRule>
  </conditionalFormatting>
  <conditionalFormatting sqref="L18">
    <cfRule type="cellIs" dxfId="2" priority="10" operator="equal">
      <formula>"✔"</formula>
    </cfRule>
    <cfRule type="cellIs" dxfId="1" priority="11" operator="equal">
      <formula>"✖"</formula>
    </cfRule>
    <cfRule type="expression" dxfId="0" priority="12">
      <formula>StartDate+0=TODAY()</formula>
    </cfRule>
  </conditionalFormatting>
  <dataValidations count="1">
    <dataValidation type="list" allowBlank="1" showInputMessage="1" showErrorMessage="1" sqref="S51 S22 S24 S26 S82 S84 S86 S88" xr:uid="{3B0EC786-E024-472C-A0F0-0C85D9F2B351}">
      <formula1>"SELECT,YES,NO,N/A"</formula1>
    </dataValidation>
  </dataValidations>
  <printOptions horizontalCentered="1"/>
  <pageMargins left="0.45" right="0.45" top="0.5" bottom="0.5" header="0.3" footer="0.3"/>
  <pageSetup scale="65" orientation="portrait" r:id="rId1"/>
  <headerFooter differentFirst="1">
    <oddHeader>&amp;LAnnual Owner Certification (AOC) Report
PART B - Exhibit C &amp;"-,Italic"cont'd</oddHeader>
    <oddFooter>&amp;RMHC Rev. 03/2025</oddFooter>
  </headerFooter>
  <rowBreaks count="1" manualBreakCount="1">
    <brk id="74" min="3"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7" r:id="rId4" name="Check Box 3">
              <controlPr defaultSize="0" autoFill="0" autoLine="0" autoPict="0">
                <anchor moveWithCells="1">
                  <from>
                    <xdr:col>11</xdr:col>
                    <xdr:colOff>85725</xdr:colOff>
                    <xdr:row>16</xdr:row>
                    <xdr:rowOff>57150</xdr:rowOff>
                  </from>
                  <to>
                    <xdr:col>12</xdr:col>
                    <xdr:colOff>114300</xdr:colOff>
                    <xdr:row>18</xdr:row>
                    <xdr:rowOff>0</xdr:rowOff>
                  </to>
                </anchor>
              </controlPr>
            </control>
          </mc:Choice>
        </mc:AlternateContent>
        <mc:AlternateContent xmlns:mc="http://schemas.openxmlformats.org/markup-compatibility/2006">
          <mc:Choice Requires="x14">
            <control shapeId="21508" r:id="rId5" name="Check Box 4">
              <controlPr defaultSize="0" autoFill="0" autoLine="0" autoPict="0">
                <anchor moveWithCells="1">
                  <from>
                    <xdr:col>9</xdr:col>
                    <xdr:colOff>66675</xdr:colOff>
                    <xdr:row>16</xdr:row>
                    <xdr:rowOff>57150</xdr:rowOff>
                  </from>
                  <to>
                    <xdr:col>10</xdr:col>
                    <xdr:colOff>104775</xdr:colOff>
                    <xdr:row>18</xdr:row>
                    <xdr:rowOff>0</xdr:rowOff>
                  </to>
                </anchor>
              </controlPr>
            </control>
          </mc:Choice>
        </mc:AlternateContent>
        <mc:AlternateContent xmlns:mc="http://schemas.openxmlformats.org/markup-compatibility/2006">
          <mc:Choice Requires="x14">
            <control shapeId="21512" r:id="rId6" name="Check Box 8">
              <controlPr defaultSize="0" autoFill="0" autoLine="0" autoPict="0">
                <anchor moveWithCells="1">
                  <from>
                    <xdr:col>9</xdr:col>
                    <xdr:colOff>28575</xdr:colOff>
                    <xdr:row>76</xdr:row>
                    <xdr:rowOff>57150</xdr:rowOff>
                  </from>
                  <to>
                    <xdr:col>10</xdr:col>
                    <xdr:colOff>66675</xdr:colOff>
                    <xdr:row>78</xdr:row>
                    <xdr:rowOff>19050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3" tint="0.249977111117893"/>
  </sheetPr>
  <dimension ref="C4:H77"/>
  <sheetViews>
    <sheetView showGridLines="0" topLeftCell="B1" zoomScaleNormal="100" workbookViewId="0">
      <selection activeCell="H11" sqref="H11"/>
    </sheetView>
  </sheetViews>
  <sheetFormatPr defaultColWidth="8.85546875" defaultRowHeight="15" x14ac:dyDescent="0.25"/>
  <cols>
    <col min="1" max="1" width="57.42578125" style="3" customWidth="1"/>
    <col min="2" max="2" width="42" style="3" customWidth="1"/>
    <col min="3" max="3" width="22.42578125" style="3" customWidth="1"/>
    <col min="4" max="4" width="17.42578125" style="3" customWidth="1"/>
    <col min="5" max="5" width="28.7109375" style="216" customWidth="1"/>
    <col min="6" max="6" width="19.7109375" style="3" customWidth="1"/>
    <col min="7" max="8" width="17.42578125" style="3" customWidth="1"/>
    <col min="9" max="9" width="3.7109375" style="3" customWidth="1"/>
    <col min="10" max="16384" width="8.85546875" style="3"/>
  </cols>
  <sheetData>
    <row r="4" spans="3:8" ht="39.75" customHeight="1" x14ac:dyDescent="0.25"/>
    <row r="5" spans="3:8" ht="15" customHeight="1" x14ac:dyDescent="0.25">
      <c r="C5" s="287"/>
      <c r="D5" s="96"/>
      <c r="E5" s="96"/>
      <c r="F5" s="96"/>
      <c r="G5" s="96"/>
      <c r="H5" s="96"/>
    </row>
    <row r="6" spans="3:8" ht="15" customHeight="1" x14ac:dyDescent="0.25">
      <c r="C6" s="285" t="s">
        <v>9</v>
      </c>
      <c r="D6" s="872" t="s">
        <v>196</v>
      </c>
      <c r="E6" s="873"/>
      <c r="F6" s="873"/>
      <c r="G6" s="873"/>
      <c r="H6" s="873"/>
    </row>
    <row r="7" spans="3:8" ht="10.15" customHeight="1" x14ac:dyDescent="0.25">
      <c r="C7" s="286"/>
      <c r="D7" s="861" t="s">
        <v>1225</v>
      </c>
      <c r="E7" s="862"/>
      <c r="F7" s="862"/>
      <c r="G7" s="862"/>
      <c r="H7" s="862"/>
    </row>
    <row r="8" spans="3:8" ht="15" customHeight="1" x14ac:dyDescent="0.25">
      <c r="C8" s="286"/>
      <c r="D8" s="861"/>
      <c r="E8" s="862"/>
      <c r="F8" s="862"/>
      <c r="G8" s="862"/>
      <c r="H8" s="862"/>
    </row>
    <row r="9" spans="3:8" ht="15" customHeight="1" x14ac:dyDescent="0.25">
      <c r="C9" s="286"/>
      <c r="D9" s="875" t="s">
        <v>263</v>
      </c>
      <c r="E9" s="876"/>
      <c r="F9" s="876"/>
      <c r="G9" s="876"/>
      <c r="H9" s="876"/>
    </row>
    <row r="10" spans="3:8" ht="15" customHeight="1" thickBot="1" x14ac:dyDescent="0.3">
      <c r="C10" s="286"/>
      <c r="D10" s="290"/>
      <c r="E10" s="290"/>
      <c r="F10" s="290"/>
      <c r="G10" s="290"/>
      <c r="H10" s="290"/>
    </row>
    <row r="11" spans="3:8" ht="20.25" customHeight="1" thickBot="1" x14ac:dyDescent="0.3">
      <c r="C11" s="286"/>
      <c r="D11" s="96"/>
      <c r="E11" s="96"/>
      <c r="F11" s="849" t="s">
        <v>373</v>
      </c>
      <c r="G11" s="849"/>
      <c r="H11" s="335"/>
    </row>
    <row r="12" spans="3:8" ht="3" customHeight="1" thickBot="1" x14ac:dyDescent="0.3">
      <c r="C12" s="288"/>
      <c r="D12" s="289"/>
      <c r="E12" s="288"/>
      <c r="F12" s="288"/>
      <c r="G12" s="288"/>
      <c r="H12" s="288"/>
    </row>
    <row r="13" spans="3:8" ht="7.15" customHeight="1" thickBot="1" x14ac:dyDescent="0.3">
      <c r="C13" s="296"/>
      <c r="D13" s="297"/>
      <c r="E13" s="296"/>
      <c r="F13" s="874"/>
      <c r="G13" s="874"/>
      <c r="H13" s="298"/>
    </row>
    <row r="14" spans="3:8" ht="7.5" customHeight="1" thickTop="1" thickBot="1" x14ac:dyDescent="0.3">
      <c r="C14" s="213"/>
      <c r="D14" s="213"/>
      <c r="E14" s="213"/>
      <c r="F14" s="218"/>
      <c r="G14" s="218"/>
      <c r="H14" s="218"/>
    </row>
    <row r="15" spans="3:8" ht="27.75" customHeight="1" thickTop="1" thickBot="1" x14ac:dyDescent="0.3">
      <c r="C15" s="852" t="s">
        <v>242</v>
      </c>
      <c r="D15" s="853"/>
      <c r="E15" s="853"/>
      <c r="F15" s="853"/>
      <c r="G15" s="853"/>
      <c r="H15" s="854"/>
    </row>
    <row r="16" spans="3:8" ht="38.25" customHeight="1" thickTop="1" x14ac:dyDescent="0.25">
      <c r="C16" s="340" t="s">
        <v>243</v>
      </c>
      <c r="D16" s="855"/>
      <c r="E16" s="855"/>
      <c r="F16" s="344" t="s">
        <v>246</v>
      </c>
      <c r="G16" s="855"/>
      <c r="H16" s="856"/>
    </row>
    <row r="17" spans="3:8" ht="38.25" customHeight="1" x14ac:dyDescent="0.25">
      <c r="C17" s="341" t="s">
        <v>244</v>
      </c>
      <c r="D17" s="866"/>
      <c r="E17" s="866"/>
      <c r="F17" s="345" t="s">
        <v>247</v>
      </c>
      <c r="G17" s="866"/>
      <c r="H17" s="867"/>
    </row>
    <row r="18" spans="3:8" ht="38.25" customHeight="1" x14ac:dyDescent="0.25">
      <c r="C18" s="342" t="s">
        <v>245</v>
      </c>
      <c r="D18" s="868"/>
      <c r="E18" s="868"/>
      <c r="F18" s="346" t="s">
        <v>248</v>
      </c>
      <c r="G18" s="868"/>
      <c r="H18" s="869"/>
    </row>
    <row r="19" spans="3:8" ht="38.25" customHeight="1" thickBot="1" x14ac:dyDescent="0.3">
      <c r="C19" s="343" t="s">
        <v>254</v>
      </c>
      <c r="D19" s="850"/>
      <c r="E19" s="850"/>
      <c r="F19" s="850"/>
      <c r="G19" s="850"/>
      <c r="H19" s="851"/>
    </row>
    <row r="20" spans="3:8" ht="10.15" customHeight="1" thickTop="1" thickBot="1" x14ac:dyDescent="0.3">
      <c r="C20" s="215"/>
      <c r="D20" s="215"/>
      <c r="E20" s="215"/>
      <c r="F20" s="215"/>
      <c r="G20" s="215"/>
      <c r="H20" s="215"/>
    </row>
    <row r="21" spans="3:8" ht="27.75" customHeight="1" thickTop="1" thickBot="1" x14ac:dyDescent="0.3">
      <c r="C21" s="852" t="s">
        <v>193</v>
      </c>
      <c r="D21" s="853"/>
      <c r="E21" s="853"/>
      <c r="F21" s="853"/>
      <c r="G21" s="853"/>
      <c r="H21" s="854"/>
    </row>
    <row r="22" spans="3:8" ht="38.25" customHeight="1" thickTop="1" x14ac:dyDescent="0.25">
      <c r="C22" s="340" t="s">
        <v>249</v>
      </c>
      <c r="D22" s="855"/>
      <c r="E22" s="855"/>
      <c r="F22" s="344" t="s">
        <v>250</v>
      </c>
      <c r="G22" s="855"/>
      <c r="H22" s="856"/>
    </row>
    <row r="23" spans="3:8" ht="38.25" customHeight="1" x14ac:dyDescent="0.25">
      <c r="C23" s="341" t="s">
        <v>251</v>
      </c>
      <c r="D23" s="866"/>
      <c r="E23" s="866"/>
      <c r="F23" s="866"/>
      <c r="G23" s="866"/>
      <c r="H23" s="867"/>
    </row>
    <row r="24" spans="3:8" ht="38.25" customHeight="1" x14ac:dyDescent="0.25">
      <c r="C24" s="341" t="s">
        <v>252</v>
      </c>
      <c r="D24" s="866"/>
      <c r="E24" s="866"/>
      <c r="F24" s="345" t="s">
        <v>253</v>
      </c>
      <c r="G24" s="866"/>
      <c r="H24" s="867"/>
    </row>
    <row r="25" spans="3:8" ht="38.25" customHeight="1" x14ac:dyDescent="0.25">
      <c r="C25" s="341" t="s">
        <v>254</v>
      </c>
      <c r="D25" s="866"/>
      <c r="E25" s="866"/>
      <c r="F25" s="866"/>
      <c r="G25" s="866"/>
      <c r="H25" s="867"/>
    </row>
    <row r="26" spans="3:8" ht="38.25" customHeight="1" x14ac:dyDescent="0.25">
      <c r="C26" s="342" t="s">
        <v>255</v>
      </c>
      <c r="D26" s="868"/>
      <c r="E26" s="868"/>
      <c r="F26" s="868"/>
      <c r="G26" s="868"/>
      <c r="H26" s="869"/>
    </row>
    <row r="27" spans="3:8" ht="38.25" customHeight="1" thickBot="1" x14ac:dyDescent="0.3">
      <c r="C27" s="347" t="s">
        <v>264</v>
      </c>
      <c r="D27" s="846"/>
      <c r="E27" s="846"/>
      <c r="F27" s="846"/>
      <c r="G27" s="846"/>
      <c r="H27" s="847"/>
    </row>
    <row r="28" spans="3:8" ht="10.9" customHeight="1" thickBot="1" x14ac:dyDescent="0.3">
      <c r="C28" s="845"/>
      <c r="D28" s="845"/>
      <c r="E28" s="845"/>
      <c r="F28" s="845"/>
      <c r="G28" s="845"/>
      <c r="H28" s="845"/>
    </row>
    <row r="29" spans="3:8" ht="27.75" customHeight="1" thickTop="1" thickBot="1" x14ac:dyDescent="0.3">
      <c r="C29" s="852" t="s">
        <v>256</v>
      </c>
      <c r="D29" s="853"/>
      <c r="E29" s="853"/>
      <c r="F29" s="853"/>
      <c r="G29" s="853"/>
      <c r="H29" s="854"/>
    </row>
    <row r="30" spans="3:8" ht="38.25" customHeight="1" thickTop="1" x14ac:dyDescent="0.25">
      <c r="C30" s="340" t="s">
        <v>251</v>
      </c>
      <c r="D30" s="864"/>
      <c r="E30" s="864"/>
      <c r="F30" s="344" t="s">
        <v>250</v>
      </c>
      <c r="G30" s="855"/>
      <c r="H30" s="856"/>
    </row>
    <row r="31" spans="3:8" ht="38.25" customHeight="1" x14ac:dyDescent="0.25">
      <c r="C31" s="341" t="s">
        <v>374</v>
      </c>
      <c r="D31" s="865"/>
      <c r="E31" s="865"/>
      <c r="F31" s="345" t="s">
        <v>258</v>
      </c>
      <c r="G31" s="866"/>
      <c r="H31" s="867"/>
    </row>
    <row r="32" spans="3:8" ht="38.25" customHeight="1" x14ac:dyDescent="0.25">
      <c r="C32" s="341" t="s">
        <v>254</v>
      </c>
      <c r="D32" s="865"/>
      <c r="E32" s="865"/>
      <c r="F32" s="345" t="s">
        <v>252</v>
      </c>
      <c r="G32" s="866"/>
      <c r="H32" s="867"/>
    </row>
    <row r="33" spans="3:8" ht="38.25" customHeight="1" thickBot="1" x14ac:dyDescent="0.3">
      <c r="C33" s="347" t="s">
        <v>255</v>
      </c>
      <c r="D33" s="846"/>
      <c r="E33" s="846"/>
      <c r="F33" s="846"/>
      <c r="G33" s="846"/>
      <c r="H33" s="847"/>
    </row>
    <row r="34" spans="3:8" ht="27" customHeight="1" x14ac:dyDescent="0.25">
      <c r="C34" s="848" t="s">
        <v>375</v>
      </c>
      <c r="D34" s="848"/>
      <c r="E34" s="848"/>
      <c r="F34" s="848"/>
      <c r="G34" s="848"/>
      <c r="H34" s="848"/>
    </row>
    <row r="35" spans="3:8" ht="8.25" customHeight="1" thickBot="1" x14ac:dyDescent="0.3">
      <c r="C35" s="215"/>
      <c r="D35" s="215"/>
      <c r="E35" s="215"/>
      <c r="F35" s="215"/>
      <c r="G35" s="215"/>
      <c r="H35" s="215"/>
    </row>
    <row r="36" spans="3:8" ht="27.75" customHeight="1" thickTop="1" thickBot="1" x14ac:dyDescent="0.3">
      <c r="C36" s="852" t="s">
        <v>265</v>
      </c>
      <c r="D36" s="853"/>
      <c r="E36" s="853"/>
      <c r="F36" s="853"/>
      <c r="G36" s="853"/>
      <c r="H36" s="854"/>
    </row>
    <row r="37" spans="3:8" ht="38.25" customHeight="1" thickTop="1" x14ac:dyDescent="0.25">
      <c r="C37" s="340" t="s">
        <v>266</v>
      </c>
      <c r="D37" s="855"/>
      <c r="E37" s="855"/>
      <c r="F37" s="344" t="s">
        <v>253</v>
      </c>
      <c r="G37" s="855"/>
      <c r="H37" s="856"/>
    </row>
    <row r="38" spans="3:8" ht="38.25" customHeight="1" thickBot="1" x14ac:dyDescent="0.3">
      <c r="C38" s="343" t="s">
        <v>254</v>
      </c>
      <c r="D38" s="850"/>
      <c r="E38" s="850"/>
      <c r="F38" s="850"/>
      <c r="G38" s="850"/>
      <c r="H38" s="851"/>
    </row>
    <row r="39" spans="3:8" ht="25.9" customHeight="1" thickTop="1" thickBot="1" x14ac:dyDescent="0.3">
      <c r="C39" s="845"/>
      <c r="D39" s="845"/>
      <c r="E39" s="845"/>
      <c r="F39" s="845"/>
      <c r="G39" s="845"/>
      <c r="H39" s="845"/>
    </row>
    <row r="40" spans="3:8" ht="27.75" customHeight="1" thickTop="1" thickBot="1" x14ac:dyDescent="0.3">
      <c r="C40" s="852" t="s">
        <v>328</v>
      </c>
      <c r="D40" s="853"/>
      <c r="E40" s="853"/>
      <c r="F40" s="853"/>
      <c r="G40" s="853"/>
      <c r="H40" s="854"/>
    </row>
    <row r="41" spans="3:8" ht="38.25" customHeight="1" thickTop="1" x14ac:dyDescent="0.25">
      <c r="C41" s="340" t="s">
        <v>257</v>
      </c>
      <c r="D41" s="863"/>
      <c r="E41" s="863"/>
      <c r="F41" s="348" t="s">
        <v>258</v>
      </c>
      <c r="G41" s="863"/>
      <c r="H41" s="877"/>
    </row>
    <row r="42" spans="3:8" ht="38.25" customHeight="1" x14ac:dyDescent="0.25">
      <c r="C42" s="341" t="s">
        <v>250</v>
      </c>
      <c r="D42" s="857"/>
      <c r="E42" s="857"/>
      <c r="F42" s="349" t="s">
        <v>259</v>
      </c>
      <c r="G42" s="857"/>
      <c r="H42" s="858"/>
    </row>
    <row r="43" spans="3:8" ht="38.25" customHeight="1" thickBot="1" x14ac:dyDescent="0.3">
      <c r="C43" s="347" t="s">
        <v>254</v>
      </c>
      <c r="D43" s="859"/>
      <c r="E43" s="859"/>
      <c r="F43" s="859"/>
      <c r="G43" s="859"/>
      <c r="H43" s="860"/>
    </row>
    <row r="44" spans="3:8" ht="38.25" customHeight="1" x14ac:dyDescent="0.25">
      <c r="C44" s="341" t="s">
        <v>257</v>
      </c>
      <c r="D44" s="857"/>
      <c r="E44" s="857"/>
      <c r="F44" s="350" t="s">
        <v>258</v>
      </c>
      <c r="G44" s="857"/>
      <c r="H44" s="858"/>
    </row>
    <row r="45" spans="3:8" ht="38.25" customHeight="1" x14ac:dyDescent="0.25">
      <c r="C45" s="341" t="s">
        <v>250</v>
      </c>
      <c r="D45" s="857"/>
      <c r="E45" s="857"/>
      <c r="F45" s="349" t="s">
        <v>259</v>
      </c>
      <c r="G45" s="857"/>
      <c r="H45" s="858"/>
    </row>
    <row r="46" spans="3:8" ht="38.25" customHeight="1" thickBot="1" x14ac:dyDescent="0.3">
      <c r="C46" s="347" t="s">
        <v>254</v>
      </c>
      <c r="D46" s="859"/>
      <c r="E46" s="859"/>
      <c r="F46" s="859"/>
      <c r="G46" s="859"/>
      <c r="H46" s="860"/>
    </row>
    <row r="47" spans="3:8" ht="38.25" customHeight="1" x14ac:dyDescent="0.25">
      <c r="C47" s="341" t="s">
        <v>257</v>
      </c>
      <c r="D47" s="857"/>
      <c r="E47" s="857"/>
      <c r="F47" s="350" t="s">
        <v>258</v>
      </c>
      <c r="G47" s="857"/>
      <c r="H47" s="858"/>
    </row>
    <row r="48" spans="3:8" ht="38.25" customHeight="1" x14ac:dyDescent="0.25">
      <c r="C48" s="341" t="s">
        <v>250</v>
      </c>
      <c r="D48" s="857"/>
      <c r="E48" s="857"/>
      <c r="F48" s="349" t="s">
        <v>259</v>
      </c>
      <c r="G48" s="857"/>
      <c r="H48" s="858"/>
    </row>
    <row r="49" spans="3:8" ht="38.25" customHeight="1" thickBot="1" x14ac:dyDescent="0.3">
      <c r="C49" s="343" t="s">
        <v>254</v>
      </c>
      <c r="D49" s="886"/>
      <c r="E49" s="886"/>
      <c r="F49" s="886"/>
      <c r="G49" s="886"/>
      <c r="H49" s="887"/>
    </row>
    <row r="50" spans="3:8" ht="10.9" customHeight="1" thickTop="1" thickBot="1" x14ac:dyDescent="0.3">
      <c r="C50" s="215"/>
      <c r="D50" s="215"/>
      <c r="E50" s="215"/>
      <c r="F50" s="215"/>
      <c r="G50" s="215"/>
      <c r="H50" s="215"/>
    </row>
    <row r="51" spans="3:8" ht="27.75" customHeight="1" thickTop="1" x14ac:dyDescent="0.25">
      <c r="C51" s="881" t="s">
        <v>1223</v>
      </c>
      <c r="D51" s="882"/>
      <c r="E51" s="882"/>
      <c r="F51" s="882"/>
      <c r="G51" s="882"/>
      <c r="H51" s="883"/>
    </row>
    <row r="52" spans="3:8" ht="53.25" customHeight="1" thickBot="1" x14ac:dyDescent="0.3">
      <c r="C52" s="878" t="s">
        <v>1226</v>
      </c>
      <c r="D52" s="879"/>
      <c r="E52" s="879"/>
      <c r="F52" s="879"/>
      <c r="G52" s="879"/>
      <c r="H52" s="880"/>
    </row>
    <row r="53" spans="3:8" ht="34.5" customHeight="1" thickTop="1" x14ac:dyDescent="0.25">
      <c r="C53" s="884" t="s">
        <v>376</v>
      </c>
      <c r="D53" s="885"/>
      <c r="E53" s="351" t="s">
        <v>260</v>
      </c>
      <c r="F53" s="351" t="s">
        <v>261</v>
      </c>
      <c r="G53" s="351" t="s">
        <v>250</v>
      </c>
      <c r="H53" s="352" t="s">
        <v>259</v>
      </c>
    </row>
    <row r="54" spans="3:8" ht="30" customHeight="1" x14ac:dyDescent="0.25">
      <c r="C54" s="870"/>
      <c r="D54" s="871"/>
      <c r="E54" s="336"/>
      <c r="F54" s="337"/>
      <c r="G54" s="337"/>
      <c r="H54" s="356"/>
    </row>
    <row r="55" spans="3:8" ht="30" customHeight="1" x14ac:dyDescent="0.25">
      <c r="C55" s="870"/>
      <c r="D55" s="871"/>
      <c r="E55" s="336"/>
      <c r="F55" s="337"/>
      <c r="G55" s="337"/>
      <c r="H55" s="356"/>
    </row>
    <row r="56" spans="3:8" ht="30" customHeight="1" x14ac:dyDescent="0.25">
      <c r="C56" s="870"/>
      <c r="D56" s="871"/>
      <c r="E56" s="336"/>
      <c r="F56" s="337"/>
      <c r="G56" s="337"/>
      <c r="H56" s="356"/>
    </row>
    <row r="57" spans="3:8" ht="30" customHeight="1" x14ac:dyDescent="0.25">
      <c r="C57" s="870"/>
      <c r="D57" s="871"/>
      <c r="E57" s="336"/>
      <c r="F57" s="337"/>
      <c r="G57" s="337"/>
      <c r="H57" s="356"/>
    </row>
    <row r="58" spans="3:8" ht="30" customHeight="1" thickBot="1" x14ac:dyDescent="0.3">
      <c r="C58" s="888"/>
      <c r="D58" s="889"/>
      <c r="E58" s="338"/>
      <c r="F58" s="339"/>
      <c r="G58" s="339"/>
      <c r="H58" s="357"/>
    </row>
    <row r="59" spans="3:8" s="299" customFormat="1" ht="4.9000000000000004" customHeight="1" thickTop="1" x14ac:dyDescent="0.25">
      <c r="C59" s="894" t="s">
        <v>377</v>
      </c>
      <c r="D59" s="894"/>
      <c r="E59" s="894"/>
      <c r="F59" s="894"/>
      <c r="G59" s="894"/>
      <c r="H59" s="894"/>
    </row>
    <row r="60" spans="3:8" ht="24.75" customHeight="1" x14ac:dyDescent="0.25">
      <c r="C60" s="895"/>
      <c r="D60" s="895"/>
      <c r="E60" s="895"/>
      <c r="F60" s="895"/>
      <c r="G60" s="895"/>
      <c r="H60" s="895"/>
    </row>
    <row r="61" spans="3:8" ht="9" customHeight="1" x14ac:dyDescent="0.25">
      <c r="C61" s="221"/>
      <c r="D61" s="221"/>
      <c r="E61" s="221"/>
      <c r="F61" s="221"/>
      <c r="G61" s="221"/>
      <c r="H61" s="221"/>
    </row>
    <row r="62" spans="3:8" ht="37.5" customHeight="1" x14ac:dyDescent="0.25">
      <c r="C62" s="220" t="s">
        <v>1229</v>
      </c>
      <c r="D62" s="890"/>
      <c r="E62" s="891"/>
      <c r="F62" s="220" t="s">
        <v>152</v>
      </c>
      <c r="G62" s="890"/>
      <c r="H62" s="891"/>
    </row>
    <row r="63" spans="3:8" ht="8.25" customHeight="1" x14ac:dyDescent="0.25">
      <c r="C63" s="220"/>
      <c r="D63" s="215"/>
      <c r="E63" s="215"/>
      <c r="F63" s="220"/>
      <c r="G63" s="215"/>
      <c r="H63" s="215"/>
    </row>
    <row r="64" spans="3:8" ht="27.75" customHeight="1" x14ac:dyDescent="0.25">
      <c r="C64" s="220" t="s">
        <v>262</v>
      </c>
      <c r="D64" s="892"/>
      <c r="E64" s="893"/>
      <c r="F64" s="220" t="s">
        <v>51</v>
      </c>
      <c r="G64" s="217"/>
      <c r="H64" s="215"/>
    </row>
    <row r="65" spans="3:8" ht="15" customHeight="1" x14ac:dyDescent="0.25">
      <c r="C65" s="220"/>
      <c r="D65" s="215"/>
      <c r="E65" s="215"/>
      <c r="F65" s="219"/>
      <c r="G65" s="215"/>
      <c r="H65" s="215"/>
    </row>
    <row r="66" spans="3:8" ht="15" customHeight="1" x14ac:dyDescent="0.25">
      <c r="C66" s="215"/>
      <c r="D66" s="215"/>
      <c r="E66" s="215"/>
      <c r="F66" s="215"/>
      <c r="G66" s="215"/>
      <c r="H66" s="215"/>
    </row>
    <row r="67" spans="3:8" ht="15" customHeight="1" x14ac:dyDescent="0.25">
      <c r="C67" s="215"/>
      <c r="D67" s="215"/>
      <c r="E67" s="215"/>
      <c r="F67" s="215"/>
      <c r="G67" s="215"/>
      <c r="H67" s="215"/>
    </row>
    <row r="68" spans="3:8" ht="15" customHeight="1" x14ac:dyDescent="0.25">
      <c r="C68" s="215"/>
      <c r="D68" s="215"/>
      <c r="E68" s="215"/>
      <c r="F68" s="215"/>
      <c r="G68" s="215"/>
      <c r="H68" s="215"/>
    </row>
    <row r="69" spans="3:8" ht="15" customHeight="1" x14ac:dyDescent="0.25">
      <c r="C69" s="215"/>
      <c r="D69" s="215"/>
      <c r="E69" s="215"/>
      <c r="F69" s="215"/>
      <c r="G69" s="215"/>
      <c r="H69" s="215"/>
    </row>
    <row r="70" spans="3:8" ht="15" customHeight="1" x14ac:dyDescent="0.25">
      <c r="C70" s="215"/>
      <c r="D70" s="215"/>
      <c r="E70" s="215"/>
      <c r="F70" s="215"/>
      <c r="G70" s="215"/>
      <c r="H70" s="215"/>
    </row>
    <row r="71" spans="3:8" ht="15" customHeight="1" x14ac:dyDescent="0.25">
      <c r="C71" s="214"/>
      <c r="D71" s="214"/>
      <c r="E71" s="214"/>
      <c r="F71" s="214"/>
      <c r="G71" s="214"/>
      <c r="H71" s="214"/>
    </row>
    <row r="72" spans="3:8" ht="15" customHeight="1" x14ac:dyDescent="0.25"/>
    <row r="73" spans="3:8" ht="15" customHeight="1" x14ac:dyDescent="0.25"/>
    <row r="74" spans="3:8" ht="15" customHeight="1" x14ac:dyDescent="0.25"/>
    <row r="75" spans="3:8" ht="15" customHeight="1" x14ac:dyDescent="0.25"/>
    <row r="76" spans="3:8" ht="15" customHeight="1" x14ac:dyDescent="0.25"/>
    <row r="77" spans="3:8" ht="15" customHeight="1" x14ac:dyDescent="0.25"/>
  </sheetData>
  <sheetProtection algorithmName="SHA-512" hashValue="DXhEZ00ZzzcaWEk/qb94R7eI1V8DumZTWiH81nSW4t8m+4bDFE4Q1AvdIPC+Iwitt+iefUO1kPC1XAsQlWTddw==" saltValue="scp8RQLpm6naTWg9Ea8+nA==" spinCount="100000" sheet="1" objects="1" scenarios="1" selectLockedCells="1"/>
  <mergeCells count="65">
    <mergeCell ref="C57:D57"/>
    <mergeCell ref="C58:D58"/>
    <mergeCell ref="D62:E62"/>
    <mergeCell ref="G62:H62"/>
    <mergeCell ref="D64:E64"/>
    <mergeCell ref="C59:H60"/>
    <mergeCell ref="D45:E45"/>
    <mergeCell ref="D46:H46"/>
    <mergeCell ref="D47:E47"/>
    <mergeCell ref="D48:E48"/>
    <mergeCell ref="D49:H49"/>
    <mergeCell ref="G45:H45"/>
    <mergeCell ref="G47:H47"/>
    <mergeCell ref="G48:H48"/>
    <mergeCell ref="C52:H52"/>
    <mergeCell ref="C51:H51"/>
    <mergeCell ref="C53:D53"/>
    <mergeCell ref="C54:D54"/>
    <mergeCell ref="C55:D55"/>
    <mergeCell ref="C56:D56"/>
    <mergeCell ref="D6:H6"/>
    <mergeCell ref="F13:G13"/>
    <mergeCell ref="D16:E16"/>
    <mergeCell ref="D9:H9"/>
    <mergeCell ref="D42:E42"/>
    <mergeCell ref="G41:H41"/>
    <mergeCell ref="G42:H42"/>
    <mergeCell ref="D38:H38"/>
    <mergeCell ref="D17:E17"/>
    <mergeCell ref="D18:E18"/>
    <mergeCell ref="G16:H16"/>
    <mergeCell ref="G17:H17"/>
    <mergeCell ref="G18:H18"/>
    <mergeCell ref="D22:E22"/>
    <mergeCell ref="D24:E24"/>
    <mergeCell ref="D7:H8"/>
    <mergeCell ref="D41:E41"/>
    <mergeCell ref="D30:E30"/>
    <mergeCell ref="D31:E31"/>
    <mergeCell ref="D32:E32"/>
    <mergeCell ref="G30:H30"/>
    <mergeCell ref="G31:H31"/>
    <mergeCell ref="G32:H32"/>
    <mergeCell ref="G22:H22"/>
    <mergeCell ref="G24:H24"/>
    <mergeCell ref="D26:H26"/>
    <mergeCell ref="C36:H36"/>
    <mergeCell ref="D37:E37"/>
    <mergeCell ref="D23:H23"/>
    <mergeCell ref="D25:H25"/>
    <mergeCell ref="C40:H40"/>
    <mergeCell ref="G37:H37"/>
    <mergeCell ref="D44:E44"/>
    <mergeCell ref="G44:H44"/>
    <mergeCell ref="D43:H43"/>
    <mergeCell ref="C28:H28"/>
    <mergeCell ref="C39:H39"/>
    <mergeCell ref="D33:H33"/>
    <mergeCell ref="C34:H34"/>
    <mergeCell ref="F11:G11"/>
    <mergeCell ref="D19:H19"/>
    <mergeCell ref="C21:H21"/>
    <mergeCell ref="C29:H29"/>
    <mergeCell ref="D27:H27"/>
    <mergeCell ref="C15:H15"/>
  </mergeCells>
  <printOptions horizontalCentered="1"/>
  <pageMargins left="0.25" right="0.25" top="0.5" bottom="0.5" header="0.3" footer="0.3"/>
  <pageSetup scale="76" orientation="portrait" r:id="rId1"/>
  <headerFooter differentFirst="1">
    <oddHeader>&amp;LMississippi Home Corporation
Annual Owner Certification (AOC) Report &amp;"-,Italic"cont'd</oddHeader>
    <oddFooter>&amp;R
&amp;10MHC Rev. 03/2025</oddFooter>
  </headerFooter>
  <rowBreaks count="1" manualBreakCount="1">
    <brk id="38" min="2" max="7"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64EA6-A4DF-495E-A6C3-63171BEF7A15}">
  <sheetPr codeName="Sheet7" filterMode="1">
    <tabColor theme="3" tint="0.499984740745262"/>
  </sheetPr>
  <dimension ref="A1:I765"/>
  <sheetViews>
    <sheetView showGridLines="0" zoomScaleNormal="100" workbookViewId="0">
      <selection activeCell="K77" sqref="K77"/>
    </sheetView>
  </sheetViews>
  <sheetFormatPr defaultRowHeight="15" x14ac:dyDescent="0.25"/>
  <cols>
    <col min="1" max="1" width="43" style="3" customWidth="1"/>
    <col min="2" max="2" width="17.42578125" style="118" bestFit="1" customWidth="1"/>
    <col min="3" max="3" width="50.5703125" style="3" customWidth="1"/>
    <col min="4" max="4" width="18.140625" style="118" customWidth="1"/>
    <col min="5" max="5" width="2.28515625" style="3" customWidth="1"/>
    <col min="6" max="8" width="9.140625" style="3"/>
    <col min="9" max="9" width="7.7109375" style="3" customWidth="1"/>
    <col min="10" max="16384" width="9.140625" style="3"/>
  </cols>
  <sheetData>
    <row r="1" spans="2:9" ht="29.25" customHeight="1" x14ac:dyDescent="0.25"/>
    <row r="2" spans="2:9" ht="29.25" customHeight="1" x14ac:dyDescent="0.25">
      <c r="B2" s="898" t="s">
        <v>1219</v>
      </c>
      <c r="C2" s="899"/>
      <c r="D2" s="900"/>
    </row>
    <row r="3" spans="2:9" ht="42" customHeight="1" thickBot="1" x14ac:dyDescent="0.3">
      <c r="B3" s="897" t="s">
        <v>1220</v>
      </c>
      <c r="C3" s="897"/>
      <c r="D3" s="897"/>
      <c r="F3" s="902" t="s">
        <v>1221</v>
      </c>
      <c r="G3" s="902"/>
      <c r="H3" s="902"/>
      <c r="I3" s="902"/>
    </row>
    <row r="4" spans="2:9" s="307" customFormat="1" ht="48.75" customHeight="1" thickBot="1" x14ac:dyDescent="0.3">
      <c r="B4" s="328" t="s">
        <v>246</v>
      </c>
      <c r="C4" s="329" t="s">
        <v>418</v>
      </c>
      <c r="D4" s="333" t="s">
        <v>419</v>
      </c>
      <c r="F4" s="902"/>
      <c r="G4" s="902"/>
      <c r="H4" s="902"/>
      <c r="I4" s="902"/>
    </row>
    <row r="5" spans="2:9" customFormat="1" ht="15" hidden="1" customHeight="1" x14ac:dyDescent="0.25">
      <c r="B5" s="4" t="str">
        <f>"00-016"</f>
        <v>00-016</v>
      </c>
      <c r="C5" t="s">
        <v>420</v>
      </c>
      <c r="D5" s="327">
        <v>43101</v>
      </c>
      <c r="F5" s="367"/>
      <c r="G5" s="367"/>
      <c r="H5" s="367"/>
      <c r="I5" s="367"/>
    </row>
    <row r="6" spans="2:9" customFormat="1" ht="15" hidden="1" customHeight="1" x14ac:dyDescent="0.25">
      <c r="B6" s="4" t="str">
        <f>"00-017"</f>
        <v>00-017</v>
      </c>
      <c r="C6" t="s">
        <v>421</v>
      </c>
      <c r="D6" s="327">
        <v>42736</v>
      </c>
      <c r="F6" s="367"/>
      <c r="G6" s="367"/>
      <c r="H6" s="367"/>
      <c r="I6" s="367"/>
    </row>
    <row r="7" spans="2:9" customFormat="1" ht="15" hidden="1" customHeight="1" x14ac:dyDescent="0.25">
      <c r="B7" s="4" t="str">
        <f>"00-029"</f>
        <v>00-029</v>
      </c>
      <c r="C7" t="s">
        <v>422</v>
      </c>
      <c r="D7" s="327">
        <v>42736</v>
      </c>
      <c r="F7" s="367"/>
      <c r="G7" s="367"/>
      <c r="H7" s="367"/>
      <c r="I7" s="367"/>
    </row>
    <row r="8" spans="2:9" customFormat="1" ht="15" hidden="1" customHeight="1" x14ac:dyDescent="0.25">
      <c r="B8" s="4" t="str">
        <f>"00-031"</f>
        <v>00-031</v>
      </c>
      <c r="C8" t="s">
        <v>423</v>
      </c>
      <c r="D8" s="327">
        <v>42370</v>
      </c>
      <c r="F8" s="367"/>
      <c r="G8" s="367"/>
      <c r="H8" s="367"/>
      <c r="I8" s="367"/>
    </row>
    <row r="9" spans="2:9" customFormat="1" ht="15" hidden="1" customHeight="1" x14ac:dyDescent="0.25">
      <c r="B9" s="4" t="str">
        <f>"00-041"</f>
        <v>00-041</v>
      </c>
      <c r="C9" t="s">
        <v>424</v>
      </c>
      <c r="D9" s="327">
        <v>42736</v>
      </c>
      <c r="F9" s="367"/>
      <c r="G9" s="367"/>
      <c r="H9" s="367"/>
      <c r="I9" s="367"/>
    </row>
    <row r="10" spans="2:9" customFormat="1" ht="15" hidden="1" customHeight="1" x14ac:dyDescent="0.25">
      <c r="B10" s="4" t="str">
        <f>"00-042"</f>
        <v>00-042</v>
      </c>
      <c r="C10" t="s">
        <v>425</v>
      </c>
      <c r="D10" s="327">
        <v>42370</v>
      </c>
      <c r="F10" s="367"/>
      <c r="G10" s="367"/>
      <c r="H10" s="367"/>
      <c r="I10" s="367"/>
    </row>
    <row r="11" spans="2:9" customFormat="1" ht="15" hidden="1" customHeight="1" x14ac:dyDescent="0.25">
      <c r="B11" s="4" t="str">
        <f>"00-043"</f>
        <v>00-043</v>
      </c>
      <c r="C11" t="s">
        <v>426</v>
      </c>
      <c r="D11" s="327">
        <v>42736</v>
      </c>
      <c r="F11" s="367"/>
      <c r="G11" s="367"/>
      <c r="H11" s="367"/>
      <c r="I11" s="367"/>
    </row>
    <row r="12" spans="2:9" customFormat="1" ht="15" hidden="1" customHeight="1" x14ac:dyDescent="0.25">
      <c r="B12" s="4" t="str">
        <f>"00-047"</f>
        <v>00-047</v>
      </c>
      <c r="C12" t="s">
        <v>427</v>
      </c>
      <c r="D12" s="327">
        <v>42370</v>
      </c>
      <c r="F12" s="367"/>
      <c r="G12" s="367"/>
      <c r="H12" s="367"/>
      <c r="I12" s="367"/>
    </row>
    <row r="13" spans="2:9" customFormat="1" ht="15" hidden="1" customHeight="1" x14ac:dyDescent="0.25">
      <c r="B13" s="4" t="str">
        <f>"00-048"</f>
        <v>00-048</v>
      </c>
      <c r="C13" t="s">
        <v>428</v>
      </c>
      <c r="D13" s="327">
        <v>42370</v>
      </c>
      <c r="F13" s="367"/>
      <c r="G13" s="367"/>
      <c r="H13" s="367"/>
      <c r="I13" s="367"/>
    </row>
    <row r="14" spans="2:9" customFormat="1" ht="15" hidden="1" customHeight="1" x14ac:dyDescent="0.25">
      <c r="B14" s="4" t="str">
        <f>"00-049"</f>
        <v>00-049</v>
      </c>
      <c r="C14" t="s">
        <v>429</v>
      </c>
      <c r="D14" s="327">
        <v>42370</v>
      </c>
      <c r="F14" s="367"/>
      <c r="G14" s="367"/>
      <c r="H14" s="367"/>
      <c r="I14" s="367"/>
    </row>
    <row r="15" spans="2:9" customFormat="1" ht="15" hidden="1" customHeight="1" x14ac:dyDescent="0.25">
      <c r="B15" s="4" t="str">
        <f>"00-053"</f>
        <v>00-053</v>
      </c>
      <c r="C15" t="s">
        <v>430</v>
      </c>
      <c r="D15" s="327">
        <v>42736</v>
      </c>
      <c r="F15" s="367"/>
      <c r="G15" s="367"/>
      <c r="H15" s="367"/>
      <c r="I15" s="367"/>
    </row>
    <row r="16" spans="2:9" customFormat="1" ht="15" hidden="1" customHeight="1" x14ac:dyDescent="0.25">
      <c r="B16" s="4" t="str">
        <f>"00-058"</f>
        <v>00-058</v>
      </c>
      <c r="C16" t="s">
        <v>431</v>
      </c>
      <c r="D16" s="327">
        <v>43101</v>
      </c>
      <c r="F16" s="367"/>
      <c r="G16" s="367"/>
      <c r="H16" s="367"/>
      <c r="I16" s="367"/>
    </row>
    <row r="17" spans="2:9" customFormat="1" ht="15" hidden="1" customHeight="1" x14ac:dyDescent="0.25">
      <c r="B17" s="4" t="str">
        <f>"00-067"</f>
        <v>00-067</v>
      </c>
      <c r="C17" t="s">
        <v>432</v>
      </c>
      <c r="D17" s="327">
        <v>42370</v>
      </c>
      <c r="F17" s="367"/>
      <c r="G17" s="367"/>
      <c r="H17" s="367"/>
      <c r="I17" s="367"/>
    </row>
    <row r="18" spans="2:9" customFormat="1" ht="15" hidden="1" customHeight="1" x14ac:dyDescent="0.25">
      <c r="B18" s="4" t="str">
        <f>"00-071"</f>
        <v>00-071</v>
      </c>
      <c r="C18" t="s">
        <v>433</v>
      </c>
      <c r="D18" s="327">
        <v>43101</v>
      </c>
      <c r="F18" s="367"/>
      <c r="G18" s="367"/>
      <c r="H18" s="367"/>
      <c r="I18" s="367"/>
    </row>
    <row r="19" spans="2:9" customFormat="1" ht="15" hidden="1" customHeight="1" x14ac:dyDescent="0.25">
      <c r="B19" s="4" t="s">
        <v>434</v>
      </c>
      <c r="C19" t="s">
        <v>435</v>
      </c>
      <c r="D19" s="327">
        <v>42736</v>
      </c>
      <c r="F19" s="367"/>
      <c r="G19" s="367"/>
      <c r="H19" s="367"/>
      <c r="I19" s="367"/>
    </row>
    <row r="20" spans="2:9" customFormat="1" ht="15" hidden="1" customHeight="1" x14ac:dyDescent="0.25">
      <c r="B20" s="4" t="str">
        <f>"01-001"</f>
        <v>01-001</v>
      </c>
      <c r="C20" t="s">
        <v>436</v>
      </c>
      <c r="D20" s="327">
        <v>42736</v>
      </c>
      <c r="F20" s="367"/>
      <c r="G20" s="367"/>
      <c r="H20" s="367"/>
      <c r="I20" s="367"/>
    </row>
    <row r="21" spans="2:9" customFormat="1" ht="15" hidden="1" customHeight="1" x14ac:dyDescent="0.25">
      <c r="B21" s="4" t="str">
        <f>"01-002"</f>
        <v>01-002</v>
      </c>
      <c r="C21" t="s">
        <v>437</v>
      </c>
      <c r="D21" s="327">
        <v>42736</v>
      </c>
      <c r="F21" s="367"/>
      <c r="G21" s="367"/>
      <c r="H21" s="367"/>
      <c r="I21" s="367"/>
    </row>
    <row r="22" spans="2:9" customFormat="1" ht="15" hidden="1" customHeight="1" x14ac:dyDescent="0.25">
      <c r="B22" s="4" t="str">
        <f>"01-003"</f>
        <v>01-003</v>
      </c>
      <c r="C22" t="s">
        <v>438</v>
      </c>
      <c r="D22" s="327">
        <v>42736</v>
      </c>
      <c r="F22" s="367"/>
      <c r="G22" s="367"/>
      <c r="H22" s="367"/>
      <c r="I22" s="367"/>
    </row>
    <row r="23" spans="2:9" customFormat="1" ht="15" hidden="1" customHeight="1" x14ac:dyDescent="0.25">
      <c r="B23" s="4" t="str">
        <f>"01-004"</f>
        <v>01-004</v>
      </c>
      <c r="C23" t="s">
        <v>439</v>
      </c>
      <c r="D23" s="327">
        <v>42736</v>
      </c>
      <c r="F23" s="367"/>
      <c r="G23" s="367"/>
      <c r="H23" s="367"/>
      <c r="I23" s="367"/>
    </row>
    <row r="24" spans="2:9" customFormat="1" ht="15" hidden="1" customHeight="1" x14ac:dyDescent="0.25">
      <c r="B24" s="4" t="str">
        <f>"01-005"</f>
        <v>01-005</v>
      </c>
      <c r="C24" t="s">
        <v>440</v>
      </c>
      <c r="D24" s="327">
        <v>42736</v>
      </c>
      <c r="F24" s="367"/>
      <c r="G24" s="367"/>
      <c r="H24" s="367"/>
      <c r="I24" s="367"/>
    </row>
    <row r="25" spans="2:9" customFormat="1" ht="15" hidden="1" customHeight="1" x14ac:dyDescent="0.25">
      <c r="B25" s="4" t="str">
        <f>"01-006"</f>
        <v>01-006</v>
      </c>
      <c r="C25" t="s">
        <v>441</v>
      </c>
      <c r="D25" s="327">
        <v>42736</v>
      </c>
      <c r="F25" s="367"/>
      <c r="G25" s="367"/>
      <c r="H25" s="367"/>
      <c r="I25" s="367"/>
    </row>
    <row r="26" spans="2:9" customFormat="1" ht="15" hidden="1" customHeight="1" x14ac:dyDescent="0.25">
      <c r="B26" s="4" t="str">
        <f>"01-007"</f>
        <v>01-007</v>
      </c>
      <c r="C26" t="s">
        <v>442</v>
      </c>
      <c r="D26" s="327">
        <v>42736</v>
      </c>
      <c r="F26" s="367"/>
      <c r="G26" s="367"/>
      <c r="H26" s="367"/>
      <c r="I26" s="367"/>
    </row>
    <row r="27" spans="2:9" customFormat="1" ht="15" hidden="1" customHeight="1" x14ac:dyDescent="0.25">
      <c r="B27" s="4" t="str">
        <f>"01-008"</f>
        <v>01-008</v>
      </c>
      <c r="C27" t="s">
        <v>443</v>
      </c>
      <c r="D27" s="327">
        <v>43101</v>
      </c>
      <c r="F27" s="367"/>
      <c r="G27" s="367"/>
      <c r="H27" s="367"/>
      <c r="I27" s="367"/>
    </row>
    <row r="28" spans="2:9" customFormat="1" ht="15" hidden="1" customHeight="1" x14ac:dyDescent="0.25">
      <c r="B28" s="4" t="str">
        <f>"01-026"</f>
        <v>01-026</v>
      </c>
      <c r="C28" t="s">
        <v>444</v>
      </c>
      <c r="D28" s="327">
        <v>43101</v>
      </c>
      <c r="F28" s="367"/>
      <c r="G28" s="367"/>
      <c r="H28" s="367"/>
      <c r="I28" s="367"/>
    </row>
    <row r="29" spans="2:9" customFormat="1" ht="15" hidden="1" customHeight="1" x14ac:dyDescent="0.25">
      <c r="B29" s="4" t="str">
        <f>"01-042"</f>
        <v>01-042</v>
      </c>
      <c r="C29" t="s">
        <v>445</v>
      </c>
      <c r="D29" s="327">
        <v>43101</v>
      </c>
      <c r="F29" s="367"/>
      <c r="G29" s="367"/>
      <c r="H29" s="367"/>
      <c r="I29" s="367"/>
    </row>
    <row r="30" spans="2:9" customFormat="1" ht="15" hidden="1" customHeight="1" x14ac:dyDescent="0.25">
      <c r="B30" s="4" t="str">
        <f>"01-047"</f>
        <v>01-047</v>
      </c>
      <c r="C30" t="s">
        <v>446</v>
      </c>
      <c r="D30" s="327">
        <v>43466</v>
      </c>
      <c r="F30" s="367"/>
      <c r="G30" s="367"/>
      <c r="H30" s="367"/>
      <c r="I30" s="367"/>
    </row>
    <row r="31" spans="2:9" customFormat="1" ht="15" hidden="1" customHeight="1" x14ac:dyDescent="0.25">
      <c r="B31" s="4" t="str">
        <f>"01-048"</f>
        <v>01-048</v>
      </c>
      <c r="C31" t="s">
        <v>447</v>
      </c>
      <c r="D31" s="327">
        <v>43466</v>
      </c>
      <c r="F31" s="367"/>
      <c r="G31" s="367"/>
      <c r="H31" s="367"/>
      <c r="I31" s="367"/>
    </row>
    <row r="32" spans="2:9" customFormat="1" ht="15" hidden="1" customHeight="1" x14ac:dyDescent="0.25">
      <c r="B32" s="4" t="str">
        <f>"01-050"</f>
        <v>01-050</v>
      </c>
      <c r="C32" t="s">
        <v>448</v>
      </c>
      <c r="D32" s="327">
        <v>43101</v>
      </c>
      <c r="F32" s="367"/>
      <c r="G32" s="367"/>
      <c r="H32" s="367"/>
      <c r="I32" s="367"/>
    </row>
    <row r="33" spans="2:9" customFormat="1" ht="15" hidden="1" customHeight="1" x14ac:dyDescent="0.25">
      <c r="B33" s="4" t="s">
        <v>449</v>
      </c>
      <c r="C33" t="s">
        <v>450</v>
      </c>
      <c r="D33" s="327">
        <v>43101</v>
      </c>
      <c r="F33" s="367"/>
      <c r="G33" s="367"/>
      <c r="H33" s="367"/>
      <c r="I33" s="367"/>
    </row>
    <row r="34" spans="2:9" customFormat="1" ht="15" hidden="1" customHeight="1" x14ac:dyDescent="0.25">
      <c r="B34" s="4" t="s">
        <v>451</v>
      </c>
      <c r="C34" t="s">
        <v>452</v>
      </c>
      <c r="D34" s="327">
        <v>43466</v>
      </c>
      <c r="F34" s="367"/>
      <c r="G34" s="367"/>
      <c r="H34" s="367"/>
      <c r="I34" s="367"/>
    </row>
    <row r="35" spans="2:9" customFormat="1" ht="15" hidden="1" customHeight="1" x14ac:dyDescent="0.25">
      <c r="B35" s="4" t="s">
        <v>453</v>
      </c>
      <c r="C35" t="s">
        <v>454</v>
      </c>
      <c r="D35" s="327">
        <v>43101</v>
      </c>
      <c r="F35" s="367"/>
      <c r="G35" s="367"/>
      <c r="H35" s="367"/>
      <c r="I35" s="367"/>
    </row>
    <row r="36" spans="2:9" customFormat="1" ht="15" hidden="1" customHeight="1" x14ac:dyDescent="0.25">
      <c r="B36" s="4" t="str">
        <f>"02-004"</f>
        <v>02-004</v>
      </c>
      <c r="C36" t="s">
        <v>455</v>
      </c>
      <c r="D36" s="327">
        <v>42736</v>
      </c>
      <c r="F36" s="367"/>
      <c r="G36" s="367"/>
      <c r="H36" s="367"/>
      <c r="I36" s="367"/>
    </row>
    <row r="37" spans="2:9" customFormat="1" ht="15" hidden="1" customHeight="1" x14ac:dyDescent="0.25">
      <c r="B37" s="4" t="str">
        <f>"02-005"</f>
        <v>02-005</v>
      </c>
      <c r="C37" t="s">
        <v>456</v>
      </c>
      <c r="D37" s="327">
        <v>43466</v>
      </c>
      <c r="F37" s="367"/>
      <c r="G37" s="367"/>
      <c r="H37" s="367"/>
      <c r="I37" s="367"/>
    </row>
    <row r="38" spans="2:9" customFormat="1" ht="15" hidden="1" customHeight="1" x14ac:dyDescent="0.25">
      <c r="B38" s="4" t="str">
        <f>"02-006"</f>
        <v>02-006</v>
      </c>
      <c r="C38" t="s">
        <v>457</v>
      </c>
      <c r="D38" s="327">
        <v>42736</v>
      </c>
      <c r="F38" s="367"/>
      <c r="G38" s="367"/>
      <c r="H38" s="367"/>
      <c r="I38" s="367"/>
    </row>
    <row r="39" spans="2:9" customFormat="1" ht="15" hidden="1" customHeight="1" x14ac:dyDescent="0.25">
      <c r="B39" s="4" t="str">
        <f>"02-007"</f>
        <v>02-007</v>
      </c>
      <c r="C39" t="s">
        <v>458</v>
      </c>
      <c r="D39" s="327">
        <v>42736</v>
      </c>
      <c r="F39" s="367"/>
      <c r="G39" s="367"/>
      <c r="H39" s="367"/>
      <c r="I39" s="367"/>
    </row>
    <row r="40" spans="2:9" customFormat="1" ht="15" hidden="1" customHeight="1" x14ac:dyDescent="0.25">
      <c r="B40" s="4" t="str">
        <f>"02-008"</f>
        <v>02-008</v>
      </c>
      <c r="C40" t="s">
        <v>459</v>
      </c>
      <c r="D40" s="327">
        <v>43831</v>
      </c>
      <c r="F40" s="367"/>
      <c r="G40" s="367"/>
      <c r="H40" s="367"/>
      <c r="I40" s="367"/>
    </row>
    <row r="41" spans="2:9" customFormat="1" ht="15" hidden="1" customHeight="1" x14ac:dyDescent="0.25">
      <c r="B41" s="4" t="str">
        <f>"02-009"</f>
        <v>02-009</v>
      </c>
      <c r="C41" t="s">
        <v>460</v>
      </c>
      <c r="D41" s="327">
        <v>43466</v>
      </c>
      <c r="F41" s="367"/>
      <c r="G41" s="367"/>
      <c r="H41" s="367"/>
      <c r="I41" s="367"/>
    </row>
    <row r="42" spans="2:9" customFormat="1" ht="15" hidden="1" customHeight="1" x14ac:dyDescent="0.25">
      <c r="B42" s="4" t="str">
        <f>"02-010"</f>
        <v>02-010</v>
      </c>
      <c r="C42" t="s">
        <v>461</v>
      </c>
      <c r="D42" s="327">
        <v>43466</v>
      </c>
      <c r="F42" s="367"/>
      <c r="G42" s="367"/>
      <c r="H42" s="367"/>
      <c r="I42" s="367"/>
    </row>
    <row r="43" spans="2:9" customFormat="1" ht="15" hidden="1" customHeight="1" x14ac:dyDescent="0.25">
      <c r="B43" s="4" t="str">
        <f>"02-011"</f>
        <v>02-011</v>
      </c>
      <c r="C43" t="s">
        <v>462</v>
      </c>
      <c r="D43" s="327">
        <v>43101</v>
      </c>
      <c r="F43" s="367"/>
      <c r="G43" s="367"/>
      <c r="H43" s="367"/>
      <c r="I43" s="367"/>
    </row>
    <row r="44" spans="2:9" customFormat="1" ht="15" hidden="1" customHeight="1" x14ac:dyDescent="0.25">
      <c r="B44" s="4" t="str">
        <f>"02-012"</f>
        <v>02-012</v>
      </c>
      <c r="C44" t="s">
        <v>463</v>
      </c>
      <c r="D44" s="327">
        <v>43831</v>
      </c>
      <c r="F44" s="367"/>
      <c r="G44" s="367"/>
      <c r="H44" s="367"/>
      <c r="I44" s="367"/>
    </row>
    <row r="45" spans="2:9" customFormat="1" ht="15" hidden="1" customHeight="1" x14ac:dyDescent="0.25">
      <c r="B45" s="4" t="str">
        <f>"02-013"</f>
        <v>02-013</v>
      </c>
      <c r="C45" t="s">
        <v>464</v>
      </c>
      <c r="D45" s="327">
        <v>43466</v>
      </c>
      <c r="F45" s="367"/>
      <c r="G45" s="367"/>
      <c r="H45" s="367"/>
      <c r="I45" s="367"/>
    </row>
    <row r="46" spans="2:9" customFormat="1" ht="15" hidden="1" customHeight="1" x14ac:dyDescent="0.25">
      <c r="B46" s="4" t="str">
        <f>"02-014"</f>
        <v>02-014</v>
      </c>
      <c r="C46" t="s">
        <v>465</v>
      </c>
      <c r="D46" s="327">
        <v>43101</v>
      </c>
      <c r="F46" s="367"/>
      <c r="G46" s="367"/>
      <c r="H46" s="367"/>
      <c r="I46" s="367"/>
    </row>
    <row r="47" spans="2:9" customFormat="1" ht="15" hidden="1" customHeight="1" x14ac:dyDescent="0.25">
      <c r="B47" s="4" t="str">
        <f>"02-015"</f>
        <v>02-015</v>
      </c>
      <c r="C47" t="s">
        <v>466</v>
      </c>
      <c r="D47" s="327">
        <v>43101</v>
      </c>
      <c r="F47" s="367"/>
      <c r="G47" s="367"/>
      <c r="H47" s="367"/>
      <c r="I47" s="367"/>
    </row>
    <row r="48" spans="2:9" customFormat="1" ht="15" hidden="1" customHeight="1" x14ac:dyDescent="0.25">
      <c r="B48" s="4" t="str">
        <f>"02-016"</f>
        <v>02-016</v>
      </c>
      <c r="C48" t="s">
        <v>467</v>
      </c>
      <c r="D48" s="327">
        <v>43466</v>
      </c>
      <c r="F48" s="367"/>
      <c r="G48" s="367"/>
      <c r="H48" s="367"/>
      <c r="I48" s="367"/>
    </row>
    <row r="49" spans="2:9" customFormat="1" ht="15" hidden="1" customHeight="1" x14ac:dyDescent="0.25">
      <c r="B49" s="4" t="str">
        <f>"02-017"</f>
        <v>02-017</v>
      </c>
      <c r="C49" t="s">
        <v>468</v>
      </c>
      <c r="D49" s="327">
        <v>43101</v>
      </c>
      <c r="F49" s="367"/>
      <c r="G49" s="367"/>
      <c r="H49" s="367"/>
      <c r="I49" s="367"/>
    </row>
    <row r="50" spans="2:9" customFormat="1" ht="15" hidden="1" customHeight="1" x14ac:dyDescent="0.25">
      <c r="B50" s="4" t="str">
        <f>"02-018"</f>
        <v>02-018</v>
      </c>
      <c r="C50" t="s">
        <v>469</v>
      </c>
      <c r="D50" s="327">
        <v>43831</v>
      </c>
      <c r="F50" s="367"/>
      <c r="G50" s="367"/>
      <c r="H50" s="367"/>
      <c r="I50" s="367"/>
    </row>
    <row r="51" spans="2:9" customFormat="1" ht="15" hidden="1" customHeight="1" x14ac:dyDescent="0.25">
      <c r="B51" s="4" t="str">
        <f>"02-025"</f>
        <v>02-025</v>
      </c>
      <c r="C51" t="s">
        <v>470</v>
      </c>
      <c r="D51" s="327">
        <v>43831</v>
      </c>
      <c r="F51" s="367"/>
      <c r="G51" s="367"/>
      <c r="H51" s="367"/>
      <c r="I51" s="367"/>
    </row>
    <row r="52" spans="2:9" customFormat="1" ht="15" hidden="1" customHeight="1" x14ac:dyDescent="0.25">
      <c r="B52" s="4" t="str">
        <f>"02-030"</f>
        <v>02-030</v>
      </c>
      <c r="C52" t="s">
        <v>471</v>
      </c>
      <c r="D52" s="327">
        <v>43466</v>
      </c>
      <c r="F52" s="367"/>
      <c r="G52" s="367"/>
      <c r="H52" s="367"/>
      <c r="I52" s="367"/>
    </row>
    <row r="53" spans="2:9" customFormat="1" ht="15" hidden="1" customHeight="1" x14ac:dyDescent="0.25">
      <c r="B53" s="4" t="s">
        <v>472</v>
      </c>
      <c r="C53" t="s">
        <v>473</v>
      </c>
      <c r="D53" s="327">
        <v>43101</v>
      </c>
      <c r="F53" s="367"/>
      <c r="G53" s="367"/>
      <c r="H53" s="367"/>
      <c r="I53" s="367"/>
    </row>
    <row r="54" spans="2:9" customFormat="1" ht="15" hidden="1" customHeight="1" x14ac:dyDescent="0.25">
      <c r="B54" s="4" t="s">
        <v>474</v>
      </c>
      <c r="C54" t="s">
        <v>475</v>
      </c>
      <c r="D54" s="327">
        <v>43831</v>
      </c>
      <c r="F54" s="367"/>
      <c r="G54" s="367"/>
      <c r="H54" s="367"/>
      <c r="I54" s="367"/>
    </row>
    <row r="55" spans="2:9" customFormat="1" ht="15" hidden="1" customHeight="1" x14ac:dyDescent="0.25">
      <c r="B55" s="4" t="str">
        <f>"03-001"</f>
        <v>03-001</v>
      </c>
      <c r="C55" t="s">
        <v>476</v>
      </c>
      <c r="D55" s="327">
        <v>43831</v>
      </c>
      <c r="F55" s="367"/>
      <c r="G55" s="367"/>
      <c r="H55" s="367"/>
      <c r="I55" s="367"/>
    </row>
    <row r="56" spans="2:9" customFormat="1" ht="15" hidden="1" customHeight="1" x14ac:dyDescent="0.25">
      <c r="B56" s="4" t="str">
        <f>"03-003"</f>
        <v>03-003</v>
      </c>
      <c r="C56" t="s">
        <v>477</v>
      </c>
      <c r="D56" s="327">
        <v>43466</v>
      </c>
      <c r="F56" s="367"/>
      <c r="G56" s="367"/>
      <c r="H56" s="367"/>
      <c r="I56" s="367"/>
    </row>
    <row r="57" spans="2:9" customFormat="1" ht="15" hidden="1" customHeight="1" x14ac:dyDescent="0.25">
      <c r="B57" s="4" t="str">
        <f>"03-004"</f>
        <v>03-004</v>
      </c>
      <c r="C57" t="s">
        <v>478</v>
      </c>
      <c r="D57" s="327">
        <v>43831</v>
      </c>
      <c r="F57" s="367"/>
      <c r="G57" s="367"/>
      <c r="H57" s="367"/>
      <c r="I57" s="367"/>
    </row>
    <row r="58" spans="2:9" customFormat="1" ht="15" hidden="1" customHeight="1" x14ac:dyDescent="0.25">
      <c r="B58" s="4" t="str">
        <f>"03-005"</f>
        <v>03-005</v>
      </c>
      <c r="C58" t="s">
        <v>479</v>
      </c>
      <c r="D58" s="327">
        <v>43466</v>
      </c>
      <c r="F58" s="367"/>
      <c r="G58" s="367"/>
      <c r="H58" s="367"/>
      <c r="I58" s="367"/>
    </row>
    <row r="59" spans="2:9" customFormat="1" ht="15" hidden="1" customHeight="1" x14ac:dyDescent="0.25">
      <c r="B59" s="4" t="str">
        <f>"03-006"</f>
        <v>03-006</v>
      </c>
      <c r="C59" t="s">
        <v>480</v>
      </c>
      <c r="D59" s="327">
        <v>43101</v>
      </c>
      <c r="F59" s="367"/>
      <c r="G59" s="367"/>
      <c r="H59" s="367"/>
      <c r="I59" s="367"/>
    </row>
    <row r="60" spans="2:9" customFormat="1" ht="15" hidden="1" customHeight="1" x14ac:dyDescent="0.25">
      <c r="B60" s="4" t="str">
        <f>"03-013"</f>
        <v>03-013</v>
      </c>
      <c r="C60" t="s">
        <v>481</v>
      </c>
      <c r="D60" s="327">
        <v>44562</v>
      </c>
      <c r="F60" s="367"/>
      <c r="G60" s="367"/>
      <c r="H60" s="367"/>
      <c r="I60" s="367"/>
    </row>
    <row r="61" spans="2:9" customFormat="1" ht="15" hidden="1" customHeight="1" x14ac:dyDescent="0.25">
      <c r="B61" s="4" t="str">
        <f>"03-019"</f>
        <v>03-019</v>
      </c>
      <c r="C61" t="s">
        <v>482</v>
      </c>
      <c r="D61" s="327">
        <v>43831</v>
      </c>
      <c r="F61" s="367"/>
      <c r="G61" s="367"/>
      <c r="H61" s="367"/>
      <c r="I61" s="367"/>
    </row>
    <row r="62" spans="2:9" customFormat="1" ht="15" hidden="1" customHeight="1" x14ac:dyDescent="0.25">
      <c r="B62" s="4" t="str">
        <f>"03-021"</f>
        <v>03-021</v>
      </c>
      <c r="C62" t="s">
        <v>483</v>
      </c>
      <c r="D62" s="327">
        <v>43831</v>
      </c>
      <c r="F62" s="367"/>
      <c r="G62" s="367"/>
      <c r="H62" s="367"/>
      <c r="I62" s="367"/>
    </row>
    <row r="63" spans="2:9" customFormat="1" ht="15" hidden="1" customHeight="1" x14ac:dyDescent="0.25">
      <c r="B63" s="4" t="str">
        <f>"03-024"</f>
        <v>03-024</v>
      </c>
      <c r="C63" t="s">
        <v>484</v>
      </c>
      <c r="D63" s="327">
        <v>43831</v>
      </c>
      <c r="F63" s="367"/>
      <c r="G63" s="367"/>
      <c r="H63" s="367"/>
      <c r="I63" s="367"/>
    </row>
    <row r="64" spans="2:9" customFormat="1" ht="15" hidden="1" customHeight="1" x14ac:dyDescent="0.25">
      <c r="B64" s="4" t="str">
        <f>"03-026"</f>
        <v>03-026</v>
      </c>
      <c r="C64" t="s">
        <v>485</v>
      </c>
      <c r="D64" s="327">
        <v>43831</v>
      </c>
      <c r="F64" s="367"/>
      <c r="G64" s="367"/>
      <c r="H64" s="367"/>
      <c r="I64" s="367"/>
    </row>
    <row r="65" spans="1:9" customFormat="1" ht="15" hidden="1" customHeight="1" x14ac:dyDescent="0.25">
      <c r="B65" s="4" t="s">
        <v>486</v>
      </c>
      <c r="C65" t="s">
        <v>487</v>
      </c>
      <c r="D65" s="327">
        <v>43831</v>
      </c>
      <c r="F65" s="367"/>
      <c r="G65" s="367"/>
      <c r="H65" s="367"/>
      <c r="I65" s="367"/>
    </row>
    <row r="66" spans="1:9" customFormat="1" ht="15" hidden="1" customHeight="1" x14ac:dyDescent="0.25">
      <c r="B66" s="4" t="s">
        <v>488</v>
      </c>
      <c r="C66" t="s">
        <v>489</v>
      </c>
      <c r="D66" s="327">
        <v>43466</v>
      </c>
      <c r="F66" s="367"/>
      <c r="G66" s="367"/>
      <c r="H66" s="367"/>
      <c r="I66" s="367"/>
    </row>
    <row r="67" spans="1:9" customFormat="1" ht="15" hidden="1" customHeight="1" x14ac:dyDescent="0.25">
      <c r="B67" s="4" t="s">
        <v>490</v>
      </c>
      <c r="C67" t="s">
        <v>491</v>
      </c>
      <c r="D67" s="327">
        <v>43466</v>
      </c>
      <c r="F67" s="367"/>
      <c r="G67" s="367"/>
      <c r="H67" s="367"/>
      <c r="I67" s="367"/>
    </row>
    <row r="68" spans="1:9" customFormat="1" ht="15" hidden="1" customHeight="1" x14ac:dyDescent="0.25">
      <c r="B68" s="4" t="str">
        <f>"04-001"</f>
        <v>04-001</v>
      </c>
      <c r="C68" t="s">
        <v>492</v>
      </c>
      <c r="D68" s="327">
        <v>44562</v>
      </c>
      <c r="F68" s="367"/>
      <c r="G68" s="367"/>
      <c r="H68" s="367"/>
      <c r="I68" s="367"/>
    </row>
    <row r="69" spans="1:9" customFormat="1" ht="15" hidden="1" customHeight="1" x14ac:dyDescent="0.25">
      <c r="B69" s="4" t="str">
        <f>"04-002"</f>
        <v>04-002</v>
      </c>
      <c r="C69" t="s">
        <v>493</v>
      </c>
      <c r="D69" s="327">
        <v>44562</v>
      </c>
      <c r="F69" s="367"/>
      <c r="G69" s="367"/>
      <c r="H69" s="367"/>
      <c r="I69" s="367"/>
    </row>
    <row r="70" spans="1:9" customFormat="1" ht="15" hidden="1" customHeight="1" x14ac:dyDescent="0.25">
      <c r="B70" s="4" t="str">
        <f>"04-004"</f>
        <v>04-004</v>
      </c>
      <c r="C70" t="s">
        <v>494</v>
      </c>
      <c r="D70" s="327">
        <v>45292</v>
      </c>
      <c r="F70" s="367"/>
      <c r="G70" s="367"/>
      <c r="H70" s="367"/>
      <c r="I70" s="367"/>
    </row>
    <row r="71" spans="1:9" customFormat="1" ht="15" hidden="1" customHeight="1" x14ac:dyDescent="0.25">
      <c r="B71" s="4" t="str">
        <f>"04-005"</f>
        <v>04-005</v>
      </c>
      <c r="C71" t="s">
        <v>495</v>
      </c>
      <c r="D71" s="327">
        <v>44197</v>
      </c>
      <c r="F71" s="367"/>
      <c r="G71" s="367"/>
      <c r="H71" s="367"/>
      <c r="I71" s="367"/>
    </row>
    <row r="72" spans="1:9" customFormat="1" ht="15" hidden="1" customHeight="1" x14ac:dyDescent="0.25">
      <c r="B72" s="4" t="str">
        <f>"04-006"</f>
        <v>04-006</v>
      </c>
      <c r="C72" t="s">
        <v>496</v>
      </c>
      <c r="D72" s="327">
        <v>43831</v>
      </c>
      <c r="F72" s="367"/>
      <c r="G72" s="367"/>
      <c r="H72" s="367"/>
      <c r="I72" s="367"/>
    </row>
    <row r="73" spans="1:9" customFormat="1" ht="15" hidden="1" customHeight="1" x14ac:dyDescent="0.25">
      <c r="B73" s="4" t="str">
        <f>"04-007"</f>
        <v>04-007</v>
      </c>
      <c r="C73" t="s">
        <v>497</v>
      </c>
      <c r="D73" s="327">
        <v>43831</v>
      </c>
      <c r="F73" s="367"/>
      <c r="G73" s="367"/>
      <c r="H73" s="367"/>
      <c r="I73" s="367"/>
    </row>
    <row r="74" spans="1:9" customFormat="1" ht="15" hidden="1" customHeight="1" x14ac:dyDescent="0.25">
      <c r="B74" s="4" t="str">
        <f>"04-008"</f>
        <v>04-008</v>
      </c>
      <c r="C74" t="s">
        <v>498</v>
      </c>
      <c r="D74" s="327">
        <v>43831</v>
      </c>
      <c r="F74" s="367"/>
      <c r="G74" s="367"/>
      <c r="H74" s="367"/>
      <c r="I74" s="367"/>
    </row>
    <row r="75" spans="1:9" customFormat="1" ht="15" hidden="1" customHeight="1" x14ac:dyDescent="0.25">
      <c r="B75" s="4" t="str">
        <f>"04-009"</f>
        <v>04-009</v>
      </c>
      <c r="C75" t="s">
        <v>499</v>
      </c>
      <c r="D75" s="327">
        <v>43831</v>
      </c>
      <c r="F75" s="367"/>
      <c r="G75" s="367"/>
      <c r="H75" s="367"/>
      <c r="I75" s="367"/>
    </row>
    <row r="76" spans="1:9" customFormat="1" ht="15" hidden="1" customHeight="1" x14ac:dyDescent="0.25">
      <c r="B76" s="4" t="str">
        <f>"04-010"</f>
        <v>04-010</v>
      </c>
      <c r="C76" t="s">
        <v>500</v>
      </c>
      <c r="D76" s="327">
        <v>43466</v>
      </c>
      <c r="F76" s="367"/>
      <c r="G76" s="367"/>
      <c r="H76" s="367"/>
      <c r="I76" s="367"/>
    </row>
    <row r="77" spans="1:9" x14ac:dyDescent="0.25">
      <c r="A77" s="307"/>
      <c r="B77" s="330" t="str">
        <f>"04-011"</f>
        <v>04-011</v>
      </c>
      <c r="C77" s="331" t="s">
        <v>1291</v>
      </c>
      <c r="D77" s="332">
        <v>44927</v>
      </c>
    </row>
    <row r="78" spans="1:9" customFormat="1" ht="15" hidden="1" customHeight="1" x14ac:dyDescent="0.25">
      <c r="B78" s="4" t="str">
        <f>"04-012"</f>
        <v>04-012</v>
      </c>
      <c r="C78" t="s">
        <v>501</v>
      </c>
      <c r="D78" s="327">
        <v>45292</v>
      </c>
      <c r="F78" s="367"/>
      <c r="G78" s="367"/>
      <c r="H78" s="367"/>
      <c r="I78" s="367"/>
    </row>
    <row r="79" spans="1:9" customFormat="1" ht="15" hidden="1" customHeight="1" x14ac:dyDescent="0.25">
      <c r="B79" s="4" t="str">
        <f>"04-013"</f>
        <v>04-013</v>
      </c>
      <c r="C79" t="s">
        <v>502</v>
      </c>
      <c r="D79" s="327">
        <v>44562</v>
      </c>
      <c r="F79" s="367"/>
      <c r="G79" s="367"/>
      <c r="H79" s="367"/>
      <c r="I79" s="367"/>
    </row>
    <row r="80" spans="1:9" customFormat="1" ht="15" hidden="1" customHeight="1" x14ac:dyDescent="0.25">
      <c r="B80" s="4" t="str">
        <f>"04-033"</f>
        <v>04-033</v>
      </c>
      <c r="C80" t="s">
        <v>503</v>
      </c>
      <c r="D80" s="327">
        <v>44562</v>
      </c>
      <c r="F80" s="367"/>
      <c r="G80" s="367"/>
      <c r="H80" s="367"/>
      <c r="I80" s="367"/>
    </row>
    <row r="81" spans="2:9" customFormat="1" ht="15" hidden="1" customHeight="1" x14ac:dyDescent="0.25">
      <c r="B81" s="4" t="s">
        <v>504</v>
      </c>
      <c r="C81" t="s">
        <v>505</v>
      </c>
      <c r="D81" s="327">
        <v>44562</v>
      </c>
      <c r="F81" s="367"/>
      <c r="G81" s="367"/>
      <c r="H81" s="367"/>
      <c r="I81" s="367"/>
    </row>
    <row r="82" spans="2:9" customFormat="1" hidden="1" x14ac:dyDescent="0.25">
      <c r="B82" s="4" t="s">
        <v>506</v>
      </c>
      <c r="C82" t="s">
        <v>507</v>
      </c>
      <c r="D82" s="327">
        <v>43831</v>
      </c>
    </row>
    <row r="83" spans="2:9" customFormat="1" hidden="1" x14ac:dyDescent="0.25">
      <c r="B83" s="4" t="str">
        <f>"05-001"</f>
        <v>05-001</v>
      </c>
      <c r="C83" t="s">
        <v>508</v>
      </c>
      <c r="D83" s="327">
        <v>44562</v>
      </c>
    </row>
    <row r="84" spans="2:9" customFormat="1" hidden="1" x14ac:dyDescent="0.25">
      <c r="B84" s="4" t="str">
        <f>"05-002"</f>
        <v>05-002</v>
      </c>
      <c r="C84" t="s">
        <v>509</v>
      </c>
      <c r="D84" s="327">
        <v>44562</v>
      </c>
    </row>
    <row r="85" spans="2:9" customFormat="1" hidden="1" x14ac:dyDescent="0.25">
      <c r="B85" s="4" t="str">
        <f>"05-003"</f>
        <v>05-003</v>
      </c>
      <c r="C85" t="s">
        <v>510</v>
      </c>
      <c r="D85" s="327">
        <v>45292</v>
      </c>
    </row>
    <row r="86" spans="2:9" x14ac:dyDescent="0.25">
      <c r="B86" s="330" t="str">
        <f>"05-004"</f>
        <v>05-004</v>
      </c>
      <c r="C86" s="331" t="s">
        <v>1292</v>
      </c>
      <c r="D86" s="332">
        <v>44927</v>
      </c>
    </row>
    <row r="87" spans="2:9" ht="15" customHeight="1" x14ac:dyDescent="0.25">
      <c r="B87" s="330" t="str">
        <f>"05-005"</f>
        <v>05-005</v>
      </c>
      <c r="C87" s="331" t="s">
        <v>1293</v>
      </c>
      <c r="D87" s="332">
        <v>44927</v>
      </c>
      <c r="F87" s="901" t="s">
        <v>1347</v>
      </c>
      <c r="G87" s="901"/>
      <c r="H87" s="901"/>
      <c r="I87" s="901"/>
    </row>
    <row r="88" spans="2:9" customFormat="1" ht="15" hidden="1" customHeight="1" x14ac:dyDescent="0.25">
      <c r="B88" s="4" t="str">
        <f>"05-006"</f>
        <v>05-006</v>
      </c>
      <c r="C88" t="s">
        <v>511</v>
      </c>
      <c r="D88" s="327">
        <v>44562</v>
      </c>
      <c r="F88" s="901"/>
      <c r="G88" s="901"/>
      <c r="H88" s="901"/>
      <c r="I88" s="901"/>
    </row>
    <row r="89" spans="2:9" customFormat="1" ht="15" hidden="1" customHeight="1" x14ac:dyDescent="0.25">
      <c r="B89" s="4" t="str">
        <f>"05-007"</f>
        <v>05-007</v>
      </c>
      <c r="C89" t="s">
        <v>512</v>
      </c>
      <c r="D89" s="327">
        <v>44562</v>
      </c>
      <c r="F89" s="901"/>
      <c r="G89" s="901"/>
      <c r="H89" s="901"/>
      <c r="I89" s="901"/>
    </row>
    <row r="90" spans="2:9" customFormat="1" ht="15" hidden="1" customHeight="1" x14ac:dyDescent="0.25">
      <c r="B90" s="4" t="str">
        <f>"05-008"</f>
        <v>05-008</v>
      </c>
      <c r="C90" t="s">
        <v>513</v>
      </c>
      <c r="D90" s="327">
        <v>44562</v>
      </c>
      <c r="F90" s="901"/>
      <c r="G90" s="901"/>
      <c r="H90" s="901"/>
      <c r="I90" s="901"/>
    </row>
    <row r="91" spans="2:9" customFormat="1" ht="15" hidden="1" customHeight="1" x14ac:dyDescent="0.25">
      <c r="B91" s="4" t="str">
        <f>"05-009"</f>
        <v>05-009</v>
      </c>
      <c r="C91" t="s">
        <v>514</v>
      </c>
      <c r="D91" s="327">
        <v>43831</v>
      </c>
      <c r="F91" s="901"/>
      <c r="G91" s="901"/>
      <c r="H91" s="901"/>
      <c r="I91" s="901"/>
    </row>
    <row r="92" spans="2:9" customFormat="1" ht="15" hidden="1" customHeight="1" x14ac:dyDescent="0.25">
      <c r="B92" s="4" t="str">
        <f>"05-011"</f>
        <v>05-011</v>
      </c>
      <c r="C92" t="s">
        <v>515</v>
      </c>
      <c r="D92" s="327">
        <v>44562</v>
      </c>
      <c r="F92" s="901"/>
      <c r="G92" s="901"/>
      <c r="H92" s="901"/>
      <c r="I92" s="901"/>
    </row>
    <row r="93" spans="2:9" customFormat="1" ht="15" hidden="1" customHeight="1" x14ac:dyDescent="0.25">
      <c r="B93" s="4" t="str">
        <f>"05-012"</f>
        <v>05-012</v>
      </c>
      <c r="C93" t="s">
        <v>516</v>
      </c>
      <c r="D93" s="327">
        <v>43831</v>
      </c>
      <c r="F93" s="901"/>
      <c r="G93" s="901"/>
      <c r="H93" s="901"/>
      <c r="I93" s="901"/>
    </row>
    <row r="94" spans="2:9" customFormat="1" ht="15" hidden="1" customHeight="1" x14ac:dyDescent="0.25">
      <c r="B94" s="4" t="s">
        <v>517</v>
      </c>
      <c r="C94" t="s">
        <v>518</v>
      </c>
      <c r="D94" s="327">
        <v>44562</v>
      </c>
      <c r="F94" s="901"/>
      <c r="G94" s="901"/>
      <c r="H94" s="901"/>
      <c r="I94" s="901"/>
    </row>
    <row r="95" spans="2:9" customFormat="1" ht="15" hidden="1" customHeight="1" x14ac:dyDescent="0.25">
      <c r="B95" s="4" t="str">
        <f>"06-001"</f>
        <v>06-001</v>
      </c>
      <c r="C95" t="s">
        <v>519</v>
      </c>
      <c r="D95" s="327">
        <v>44562</v>
      </c>
      <c r="F95" s="901"/>
      <c r="G95" s="901"/>
      <c r="H95" s="901"/>
      <c r="I95" s="901"/>
    </row>
    <row r="96" spans="2:9" x14ac:dyDescent="0.25">
      <c r="B96" s="330" t="str">
        <f>"06-002"</f>
        <v>06-002</v>
      </c>
      <c r="C96" s="331" t="s">
        <v>1294</v>
      </c>
      <c r="D96" s="332">
        <v>44927</v>
      </c>
      <c r="F96" s="901"/>
      <c r="G96" s="901"/>
      <c r="H96" s="901"/>
      <c r="I96" s="901"/>
    </row>
    <row r="97" spans="2:9" customFormat="1" ht="15" hidden="1" customHeight="1" x14ac:dyDescent="0.25">
      <c r="B97" s="4" t="str">
        <f>"06-003"</f>
        <v>06-003</v>
      </c>
      <c r="C97" t="s">
        <v>520</v>
      </c>
      <c r="D97" s="327">
        <v>45292</v>
      </c>
      <c r="F97" s="901"/>
      <c r="G97" s="901"/>
      <c r="H97" s="901"/>
      <c r="I97" s="901"/>
    </row>
    <row r="98" spans="2:9" customFormat="1" ht="15" hidden="1" customHeight="1" x14ac:dyDescent="0.25">
      <c r="B98" s="4" t="str">
        <f>"06-004"</f>
        <v>06-004</v>
      </c>
      <c r="C98" t="s">
        <v>521</v>
      </c>
      <c r="D98" s="327">
        <v>44562</v>
      </c>
      <c r="F98" s="901"/>
      <c r="G98" s="901"/>
      <c r="H98" s="901"/>
      <c r="I98" s="901"/>
    </row>
    <row r="99" spans="2:9" customFormat="1" ht="15" hidden="1" customHeight="1" x14ac:dyDescent="0.25">
      <c r="B99" s="4" t="str">
        <f>"06-005"</f>
        <v>06-005</v>
      </c>
      <c r="C99" t="s">
        <v>522</v>
      </c>
      <c r="D99" s="327">
        <v>44562</v>
      </c>
      <c r="F99" s="901"/>
      <c r="G99" s="901"/>
      <c r="H99" s="901"/>
      <c r="I99" s="901"/>
    </row>
    <row r="100" spans="2:9" customFormat="1" ht="15" hidden="1" customHeight="1" x14ac:dyDescent="0.25">
      <c r="B100" s="4" t="str">
        <f>"06-006"</f>
        <v>06-006</v>
      </c>
      <c r="C100" t="s">
        <v>523</v>
      </c>
      <c r="D100" s="327">
        <v>44562</v>
      </c>
      <c r="F100" s="901"/>
      <c r="G100" s="901"/>
      <c r="H100" s="901"/>
      <c r="I100" s="901"/>
    </row>
    <row r="101" spans="2:9" x14ac:dyDescent="0.25">
      <c r="B101" s="330" t="str">
        <f>"06-007"</f>
        <v>06-007</v>
      </c>
      <c r="C101" s="331" t="s">
        <v>1295</v>
      </c>
      <c r="D101" s="332">
        <v>44927</v>
      </c>
      <c r="F101" s="901"/>
      <c r="G101" s="901"/>
      <c r="H101" s="901"/>
      <c r="I101" s="901"/>
    </row>
    <row r="102" spans="2:9" customFormat="1" ht="15" hidden="1" customHeight="1" x14ac:dyDescent="0.25">
      <c r="B102" s="4" t="str">
        <f>"06-008"</f>
        <v>06-008</v>
      </c>
      <c r="C102" t="s">
        <v>524</v>
      </c>
      <c r="D102" s="327">
        <v>45292</v>
      </c>
      <c r="F102" s="901"/>
      <c r="G102" s="901"/>
      <c r="H102" s="901"/>
      <c r="I102" s="901"/>
    </row>
    <row r="103" spans="2:9" customFormat="1" ht="15" hidden="1" customHeight="1" x14ac:dyDescent="0.25">
      <c r="B103" s="4" t="str">
        <f>"06-011"</f>
        <v>06-011</v>
      </c>
      <c r="C103" t="s">
        <v>525</v>
      </c>
      <c r="D103" s="327">
        <v>45658</v>
      </c>
      <c r="F103" s="901"/>
      <c r="G103" s="901"/>
      <c r="H103" s="901"/>
      <c r="I103" s="901"/>
    </row>
    <row r="104" spans="2:9" customFormat="1" ht="15" hidden="1" customHeight="1" x14ac:dyDescent="0.25">
      <c r="B104" s="4" t="str">
        <f>"06-012"</f>
        <v>06-012</v>
      </c>
      <c r="C104" t="s">
        <v>526</v>
      </c>
      <c r="D104" s="327">
        <v>46023</v>
      </c>
      <c r="F104" s="901"/>
      <c r="G104" s="901"/>
      <c r="H104" s="901"/>
      <c r="I104" s="901"/>
    </row>
    <row r="105" spans="2:9" x14ac:dyDescent="0.25">
      <c r="B105" s="330" t="str">
        <f>"06-013"</f>
        <v>06-013</v>
      </c>
      <c r="C105" s="331" t="s">
        <v>1296</v>
      </c>
      <c r="D105" s="332">
        <v>44927</v>
      </c>
      <c r="F105" s="901"/>
      <c r="G105" s="901"/>
      <c r="H105" s="901"/>
      <c r="I105" s="901"/>
    </row>
    <row r="106" spans="2:9" customFormat="1" ht="15" hidden="1" customHeight="1" x14ac:dyDescent="0.25">
      <c r="B106" s="4" t="str">
        <f>"06-014"</f>
        <v>06-014</v>
      </c>
      <c r="C106" t="s">
        <v>527</v>
      </c>
      <c r="D106" s="327">
        <v>46388</v>
      </c>
      <c r="F106" s="901"/>
      <c r="G106" s="901"/>
      <c r="H106" s="901"/>
      <c r="I106" s="901"/>
    </row>
    <row r="107" spans="2:9" x14ac:dyDescent="0.25">
      <c r="B107" s="330" t="str">
        <f>"06-015"</f>
        <v>06-015</v>
      </c>
      <c r="C107" s="331" t="s">
        <v>1297</v>
      </c>
      <c r="D107" s="332">
        <v>44927</v>
      </c>
      <c r="F107" s="901"/>
      <c r="G107" s="901"/>
      <c r="H107" s="901"/>
      <c r="I107" s="901"/>
    </row>
    <row r="108" spans="2:9" customFormat="1" ht="15" hidden="1" customHeight="1" x14ac:dyDescent="0.25">
      <c r="B108" s="4" t="str">
        <f>"06-016"</f>
        <v>06-016</v>
      </c>
      <c r="C108" t="s">
        <v>528</v>
      </c>
      <c r="D108" s="327">
        <v>46388</v>
      </c>
      <c r="F108" s="901"/>
      <c r="G108" s="901"/>
      <c r="H108" s="901"/>
      <c r="I108" s="901"/>
    </row>
    <row r="109" spans="2:9" x14ac:dyDescent="0.25">
      <c r="B109" s="330" t="str">
        <f>"06-018"</f>
        <v>06-018</v>
      </c>
      <c r="C109" s="331" t="s">
        <v>1298</v>
      </c>
      <c r="D109" s="332">
        <v>44927</v>
      </c>
      <c r="F109" s="901"/>
      <c r="G109" s="901"/>
      <c r="H109" s="901"/>
      <c r="I109" s="901"/>
    </row>
    <row r="110" spans="2:9" x14ac:dyDescent="0.25">
      <c r="B110" s="330" t="str">
        <f>"06-021"</f>
        <v>06-021</v>
      </c>
      <c r="C110" s="331" t="s">
        <v>1299</v>
      </c>
      <c r="D110" s="332">
        <v>44927</v>
      </c>
      <c r="F110" s="901"/>
      <c r="G110" s="901"/>
      <c r="H110" s="901"/>
      <c r="I110" s="901"/>
    </row>
    <row r="111" spans="2:9" customFormat="1" ht="15" hidden="1" customHeight="1" x14ac:dyDescent="0.25">
      <c r="B111" s="4" t="str">
        <f>"06-022"</f>
        <v>06-022</v>
      </c>
      <c r="C111" t="s">
        <v>529</v>
      </c>
      <c r="D111" s="327">
        <v>44562</v>
      </c>
      <c r="F111" s="901"/>
      <c r="G111" s="901"/>
      <c r="H111" s="901"/>
      <c r="I111" s="901"/>
    </row>
    <row r="112" spans="2:9" x14ac:dyDescent="0.25">
      <c r="B112" s="330" t="str">
        <f>"06-023"</f>
        <v>06-023</v>
      </c>
      <c r="C112" s="331" t="s">
        <v>1300</v>
      </c>
      <c r="D112" s="332">
        <v>44927</v>
      </c>
      <c r="F112" s="901"/>
      <c r="G112" s="901"/>
      <c r="H112" s="901"/>
      <c r="I112" s="901"/>
    </row>
    <row r="113" spans="2:9" customFormat="1" ht="15" hidden="1" customHeight="1" x14ac:dyDescent="0.25">
      <c r="B113" s="4" t="str">
        <f>"06-024"</f>
        <v>06-024</v>
      </c>
      <c r="C113" t="s">
        <v>530</v>
      </c>
      <c r="D113" s="327">
        <v>45292</v>
      </c>
      <c r="F113" s="901"/>
      <c r="G113" s="901"/>
      <c r="H113" s="901"/>
      <c r="I113" s="901"/>
    </row>
    <row r="114" spans="2:9" x14ac:dyDescent="0.25">
      <c r="B114" s="330" t="str">
        <f>"06-026"</f>
        <v>06-026</v>
      </c>
      <c r="C114" s="331" t="s">
        <v>1301</v>
      </c>
      <c r="D114" s="332">
        <v>44927</v>
      </c>
      <c r="F114" s="901"/>
      <c r="G114" s="901"/>
      <c r="H114" s="901"/>
      <c r="I114" s="901"/>
    </row>
    <row r="115" spans="2:9" customFormat="1" ht="15" hidden="1" customHeight="1" x14ac:dyDescent="0.25">
      <c r="B115" s="4" t="str">
        <f>"06-027"</f>
        <v>06-027</v>
      </c>
      <c r="C115" t="s">
        <v>531</v>
      </c>
      <c r="D115" s="327">
        <v>45292</v>
      </c>
      <c r="F115" s="901"/>
      <c r="G115" s="901"/>
      <c r="H115" s="901"/>
      <c r="I115" s="901"/>
    </row>
    <row r="116" spans="2:9" customFormat="1" ht="15" hidden="1" customHeight="1" x14ac:dyDescent="0.25">
      <c r="B116" s="4" t="str">
        <f>"06-028"</f>
        <v>06-028</v>
      </c>
      <c r="C116" t="s">
        <v>532</v>
      </c>
      <c r="D116" s="327">
        <v>45292</v>
      </c>
      <c r="F116" s="901"/>
      <c r="G116" s="901"/>
      <c r="H116" s="901"/>
      <c r="I116" s="901"/>
    </row>
    <row r="117" spans="2:9" customFormat="1" ht="15" hidden="1" customHeight="1" x14ac:dyDescent="0.25">
      <c r="B117" s="4" t="str">
        <f>"06-030"</f>
        <v>06-030</v>
      </c>
      <c r="C117" t="s">
        <v>533</v>
      </c>
      <c r="D117" s="327">
        <v>45292</v>
      </c>
      <c r="F117" s="901"/>
      <c r="G117" s="901"/>
      <c r="H117" s="901"/>
      <c r="I117" s="901"/>
    </row>
    <row r="118" spans="2:9" customFormat="1" ht="15" hidden="1" customHeight="1" x14ac:dyDescent="0.25">
      <c r="B118" s="4" t="str">
        <f>"06-053"</f>
        <v>06-053</v>
      </c>
      <c r="C118" t="s">
        <v>534</v>
      </c>
      <c r="D118" s="327">
        <v>45292</v>
      </c>
      <c r="F118" s="901"/>
      <c r="G118" s="901"/>
      <c r="H118" s="901"/>
      <c r="I118" s="901"/>
    </row>
    <row r="119" spans="2:9" customFormat="1" ht="15" hidden="1" customHeight="1" x14ac:dyDescent="0.25">
      <c r="B119" s="4" t="str">
        <f>"06-054"</f>
        <v>06-054</v>
      </c>
      <c r="C119" t="s">
        <v>535</v>
      </c>
      <c r="D119" s="327">
        <v>45658</v>
      </c>
      <c r="F119" s="901"/>
      <c r="G119" s="901"/>
      <c r="H119" s="901"/>
      <c r="I119" s="901"/>
    </row>
    <row r="120" spans="2:9" customFormat="1" ht="15" hidden="1" customHeight="1" x14ac:dyDescent="0.25">
      <c r="B120" s="4" t="str">
        <f>"06-055"</f>
        <v>06-055</v>
      </c>
      <c r="C120" t="s">
        <v>536</v>
      </c>
      <c r="D120" s="327">
        <v>45658</v>
      </c>
      <c r="F120" s="901"/>
      <c r="G120" s="901"/>
      <c r="H120" s="901"/>
      <c r="I120" s="901"/>
    </row>
    <row r="121" spans="2:9" customFormat="1" ht="15" hidden="1" customHeight="1" x14ac:dyDescent="0.25">
      <c r="B121" s="4" t="str">
        <f>"06-056"</f>
        <v>06-056</v>
      </c>
      <c r="C121" t="s">
        <v>537</v>
      </c>
      <c r="D121" s="327">
        <v>45292</v>
      </c>
      <c r="F121" s="901"/>
      <c r="G121" s="901"/>
      <c r="H121" s="901"/>
      <c r="I121" s="901"/>
    </row>
    <row r="122" spans="2:9" customFormat="1" ht="15" hidden="1" customHeight="1" x14ac:dyDescent="0.25">
      <c r="B122" s="4" t="str">
        <f>"06-069"</f>
        <v>06-069</v>
      </c>
      <c r="C122" t="s">
        <v>538</v>
      </c>
      <c r="D122" s="327">
        <v>45292</v>
      </c>
      <c r="F122" s="901"/>
      <c r="G122" s="901"/>
      <c r="H122" s="901"/>
      <c r="I122" s="901"/>
    </row>
    <row r="123" spans="2:9" customFormat="1" ht="15" hidden="1" customHeight="1" x14ac:dyDescent="0.25">
      <c r="B123" s="4" t="str">
        <f>"06-071"</f>
        <v>06-071</v>
      </c>
      <c r="C123" t="s">
        <v>539</v>
      </c>
      <c r="D123" s="327">
        <v>45292</v>
      </c>
      <c r="F123" s="901"/>
      <c r="G123" s="901"/>
      <c r="H123" s="901"/>
      <c r="I123" s="901"/>
    </row>
    <row r="124" spans="2:9" customFormat="1" ht="15" hidden="1" customHeight="1" x14ac:dyDescent="0.25">
      <c r="B124" s="4" t="str">
        <f>"06-075"</f>
        <v>06-075</v>
      </c>
      <c r="C124" t="s">
        <v>540</v>
      </c>
      <c r="D124" s="327">
        <v>45292</v>
      </c>
      <c r="F124" s="901"/>
      <c r="G124" s="901"/>
      <c r="H124" s="901"/>
      <c r="I124" s="901"/>
    </row>
    <row r="125" spans="2:9" customFormat="1" ht="15" hidden="1" customHeight="1" x14ac:dyDescent="0.25">
      <c r="B125" s="4" t="str">
        <f>"06-076"</f>
        <v>06-076</v>
      </c>
      <c r="C125" t="s">
        <v>541</v>
      </c>
      <c r="D125" s="327">
        <v>45292</v>
      </c>
      <c r="F125" s="901"/>
      <c r="G125" s="901"/>
      <c r="H125" s="901"/>
      <c r="I125" s="901"/>
    </row>
    <row r="126" spans="2:9" x14ac:dyDescent="0.25">
      <c r="B126" s="330" t="str">
        <f>"06-081"</f>
        <v>06-081</v>
      </c>
      <c r="C126" s="331" t="s">
        <v>1302</v>
      </c>
      <c r="D126" s="332">
        <v>44927</v>
      </c>
      <c r="F126" s="901"/>
      <c r="G126" s="901"/>
      <c r="H126" s="901"/>
      <c r="I126" s="901"/>
    </row>
    <row r="127" spans="2:9" customFormat="1" ht="15" hidden="1" customHeight="1" x14ac:dyDescent="0.25">
      <c r="B127" s="4" t="str">
        <f>"06-099"</f>
        <v>06-099</v>
      </c>
      <c r="C127" t="s">
        <v>542</v>
      </c>
      <c r="D127" s="327">
        <v>45292</v>
      </c>
      <c r="F127" s="901"/>
      <c r="G127" s="901"/>
      <c r="H127" s="901"/>
      <c r="I127" s="901"/>
    </row>
    <row r="128" spans="2:9" customFormat="1" ht="15" hidden="1" customHeight="1" x14ac:dyDescent="0.25">
      <c r="B128" s="4" t="str">
        <f>"06-114"</f>
        <v>06-114</v>
      </c>
      <c r="C128" t="s">
        <v>543</v>
      </c>
      <c r="D128" s="327">
        <v>45292</v>
      </c>
      <c r="F128" s="901"/>
      <c r="G128" s="901"/>
      <c r="H128" s="901"/>
      <c r="I128" s="901"/>
    </row>
    <row r="129" spans="2:9" customFormat="1" ht="15" hidden="1" customHeight="1" x14ac:dyDescent="0.25">
      <c r="B129" s="4" t="str">
        <f>"06-133"</f>
        <v>06-133</v>
      </c>
      <c r="C129" t="s">
        <v>544</v>
      </c>
      <c r="D129" s="327">
        <v>45292</v>
      </c>
      <c r="F129" s="901"/>
      <c r="G129" s="901"/>
      <c r="H129" s="901"/>
      <c r="I129" s="901"/>
    </row>
    <row r="130" spans="2:9" x14ac:dyDescent="0.25">
      <c r="B130" s="330" t="str">
        <f>"06-140"</f>
        <v>06-140</v>
      </c>
      <c r="C130" s="331" t="s">
        <v>1303</v>
      </c>
      <c r="D130" s="332">
        <v>44927</v>
      </c>
      <c r="F130" s="901"/>
      <c r="G130" s="901"/>
      <c r="H130" s="901"/>
      <c r="I130" s="901"/>
    </row>
    <row r="131" spans="2:9" x14ac:dyDescent="0.25">
      <c r="B131" s="330" t="str">
        <f>"06-144"</f>
        <v>06-144</v>
      </c>
      <c r="C131" s="331" t="s">
        <v>1304</v>
      </c>
      <c r="D131" s="332">
        <v>44927</v>
      </c>
      <c r="F131" s="901"/>
      <c r="G131" s="901"/>
      <c r="H131" s="901"/>
      <c r="I131" s="901"/>
    </row>
    <row r="132" spans="2:9" x14ac:dyDescent="0.25">
      <c r="B132" s="330" t="str">
        <f>"07-001"</f>
        <v>07-001</v>
      </c>
      <c r="C132" s="331" t="s">
        <v>1305</v>
      </c>
      <c r="D132" s="332">
        <v>44927</v>
      </c>
    </row>
    <row r="133" spans="2:9" customFormat="1" hidden="1" x14ac:dyDescent="0.25">
      <c r="B133" s="4" t="str">
        <f>"07-002"</f>
        <v>07-002</v>
      </c>
      <c r="C133" t="s">
        <v>545</v>
      </c>
      <c r="D133" s="327">
        <v>45292</v>
      </c>
    </row>
    <row r="134" spans="2:9" customFormat="1" hidden="1" x14ac:dyDescent="0.25">
      <c r="B134" s="4" t="str">
        <f>"07-003"</f>
        <v>07-003</v>
      </c>
      <c r="C134" t="s">
        <v>546</v>
      </c>
      <c r="D134" s="327">
        <v>45658</v>
      </c>
    </row>
    <row r="135" spans="2:9" x14ac:dyDescent="0.25">
      <c r="B135" s="330" t="str">
        <f>"07-004"</f>
        <v>07-004</v>
      </c>
      <c r="C135" s="331" t="s">
        <v>1306</v>
      </c>
      <c r="D135" s="332">
        <v>44927</v>
      </c>
    </row>
    <row r="136" spans="2:9" customFormat="1" hidden="1" x14ac:dyDescent="0.25">
      <c r="B136" s="4" t="s">
        <v>547</v>
      </c>
      <c r="C136" t="s">
        <v>548</v>
      </c>
      <c r="D136" s="327">
        <v>45292</v>
      </c>
    </row>
    <row r="137" spans="2:9" customFormat="1" hidden="1" x14ac:dyDescent="0.25">
      <c r="B137" s="4" t="str">
        <f>"07-007"</f>
        <v>07-007</v>
      </c>
      <c r="C137" t="s">
        <v>549</v>
      </c>
      <c r="D137" s="327">
        <v>45658</v>
      </c>
    </row>
    <row r="138" spans="2:9" customFormat="1" hidden="1" x14ac:dyDescent="0.25">
      <c r="B138" s="4" t="str">
        <f>"07-009"</f>
        <v>07-009</v>
      </c>
      <c r="C138" t="s">
        <v>550</v>
      </c>
      <c r="D138" s="327">
        <v>45292</v>
      </c>
    </row>
    <row r="139" spans="2:9" customFormat="1" hidden="1" x14ac:dyDescent="0.25">
      <c r="B139" s="4" t="str">
        <f>"07-011"</f>
        <v>07-011</v>
      </c>
      <c r="C139" t="s">
        <v>551</v>
      </c>
      <c r="D139" s="327">
        <v>46023</v>
      </c>
    </row>
    <row r="140" spans="2:9" customFormat="1" hidden="1" x14ac:dyDescent="0.25">
      <c r="B140" s="4" t="str">
        <f>"07-012"</f>
        <v>07-012</v>
      </c>
      <c r="C140" t="s">
        <v>552</v>
      </c>
      <c r="D140" s="327">
        <v>46023</v>
      </c>
    </row>
    <row r="141" spans="2:9" customFormat="1" hidden="1" x14ac:dyDescent="0.25">
      <c r="B141" s="4" t="str">
        <f>"07-013"</f>
        <v>07-013</v>
      </c>
      <c r="C141" t="s">
        <v>553</v>
      </c>
      <c r="D141" s="327">
        <v>45658</v>
      </c>
    </row>
    <row r="142" spans="2:9" customFormat="1" hidden="1" x14ac:dyDescent="0.25">
      <c r="B142" s="4" t="str">
        <f>"07-015"</f>
        <v>07-015</v>
      </c>
      <c r="C142" t="s">
        <v>554</v>
      </c>
      <c r="D142" s="327">
        <v>45292</v>
      </c>
    </row>
    <row r="143" spans="2:9" customFormat="1" hidden="1" x14ac:dyDescent="0.25">
      <c r="B143" s="4" t="str">
        <f>"07-016"</f>
        <v>07-016</v>
      </c>
      <c r="C143" t="s">
        <v>555</v>
      </c>
      <c r="D143" s="327">
        <v>45292</v>
      </c>
    </row>
    <row r="144" spans="2:9" customFormat="1" hidden="1" x14ac:dyDescent="0.25">
      <c r="B144" s="4" t="str">
        <f>"07-020"</f>
        <v>07-020</v>
      </c>
      <c r="C144" t="s">
        <v>556</v>
      </c>
      <c r="D144" s="327">
        <v>45292</v>
      </c>
    </row>
    <row r="145" spans="2:4" customFormat="1" hidden="1" x14ac:dyDescent="0.25">
      <c r="B145" s="4" t="str">
        <f>"07-023"</f>
        <v>07-023</v>
      </c>
      <c r="C145" t="s">
        <v>557</v>
      </c>
      <c r="D145" s="327">
        <v>45292</v>
      </c>
    </row>
    <row r="146" spans="2:4" customFormat="1" hidden="1" x14ac:dyDescent="0.25">
      <c r="B146" s="4" t="str">
        <f>"07-024"</f>
        <v>07-024</v>
      </c>
      <c r="C146" t="s">
        <v>558</v>
      </c>
      <c r="D146" s="327">
        <v>45292</v>
      </c>
    </row>
    <row r="147" spans="2:4" customFormat="1" hidden="1" x14ac:dyDescent="0.25">
      <c r="B147" s="4" t="str">
        <f>"07-026"</f>
        <v>07-026</v>
      </c>
      <c r="C147" t="s">
        <v>559</v>
      </c>
      <c r="D147" s="327">
        <v>45292</v>
      </c>
    </row>
    <row r="148" spans="2:4" customFormat="1" hidden="1" x14ac:dyDescent="0.25">
      <c r="B148" s="4" t="str">
        <f>"07-029"</f>
        <v>07-029</v>
      </c>
      <c r="C148" t="s">
        <v>560</v>
      </c>
      <c r="D148" s="327">
        <v>45292</v>
      </c>
    </row>
    <row r="149" spans="2:4" customFormat="1" hidden="1" x14ac:dyDescent="0.25">
      <c r="B149" s="4" t="str">
        <f>"07-030"</f>
        <v>07-030</v>
      </c>
      <c r="C149" t="s">
        <v>561</v>
      </c>
      <c r="D149" s="327">
        <v>45658</v>
      </c>
    </row>
    <row r="150" spans="2:4" customFormat="1" hidden="1" x14ac:dyDescent="0.25">
      <c r="B150" s="4" t="str">
        <f>"07-037"</f>
        <v>07-037</v>
      </c>
      <c r="C150" t="s">
        <v>562</v>
      </c>
      <c r="D150" s="327">
        <v>45658</v>
      </c>
    </row>
    <row r="151" spans="2:4" customFormat="1" hidden="1" x14ac:dyDescent="0.25">
      <c r="B151" s="4" t="str">
        <f>"07-039"</f>
        <v>07-039</v>
      </c>
      <c r="C151" t="s">
        <v>563</v>
      </c>
      <c r="D151" s="327">
        <v>46023</v>
      </c>
    </row>
    <row r="152" spans="2:4" customFormat="1" hidden="1" x14ac:dyDescent="0.25">
      <c r="B152" s="4" t="str">
        <f>"07-2-003"</f>
        <v>07-2-003</v>
      </c>
      <c r="C152" t="s">
        <v>564</v>
      </c>
      <c r="D152" s="327">
        <v>45292</v>
      </c>
    </row>
    <row r="153" spans="2:4" customFormat="1" hidden="1" x14ac:dyDescent="0.25">
      <c r="B153" s="4" t="str">
        <f>"07-2-004"</f>
        <v>07-2-004</v>
      </c>
      <c r="C153" t="s">
        <v>565</v>
      </c>
      <c r="D153" s="327">
        <v>45292</v>
      </c>
    </row>
    <row r="154" spans="2:4" customFormat="1" hidden="1" x14ac:dyDescent="0.25">
      <c r="B154" s="4" t="str">
        <f>"07-2-006"</f>
        <v>07-2-006</v>
      </c>
      <c r="C154" t="s">
        <v>566</v>
      </c>
      <c r="D154" s="327">
        <v>46023</v>
      </c>
    </row>
    <row r="155" spans="2:4" customFormat="1" hidden="1" x14ac:dyDescent="0.25">
      <c r="B155" s="4" t="str">
        <f>"07-2-007"</f>
        <v>07-2-007</v>
      </c>
      <c r="C155" t="s">
        <v>567</v>
      </c>
      <c r="D155" s="327">
        <v>45292</v>
      </c>
    </row>
    <row r="156" spans="2:4" customFormat="1" hidden="1" x14ac:dyDescent="0.25">
      <c r="B156" s="4" t="str">
        <f>"07-2-009"</f>
        <v>07-2-009</v>
      </c>
      <c r="C156" t="s">
        <v>568</v>
      </c>
      <c r="D156" s="327">
        <v>45658</v>
      </c>
    </row>
    <row r="157" spans="2:4" customFormat="1" hidden="1" x14ac:dyDescent="0.25">
      <c r="B157" s="4" t="str">
        <f>"07-2-010"</f>
        <v>07-2-010</v>
      </c>
      <c r="C157" t="s">
        <v>569</v>
      </c>
      <c r="D157" s="327">
        <v>45658</v>
      </c>
    </row>
    <row r="158" spans="2:4" customFormat="1" hidden="1" x14ac:dyDescent="0.25">
      <c r="B158" s="4" t="str">
        <f>"07-2-011"</f>
        <v>07-2-011</v>
      </c>
      <c r="C158" t="s">
        <v>570</v>
      </c>
      <c r="D158" s="327">
        <v>45658</v>
      </c>
    </row>
    <row r="159" spans="2:4" customFormat="1" hidden="1" x14ac:dyDescent="0.25">
      <c r="B159" s="4" t="str">
        <f>"07-2-012"</f>
        <v>07-2-012</v>
      </c>
      <c r="C159" t="s">
        <v>571</v>
      </c>
      <c r="D159" s="327">
        <v>45292</v>
      </c>
    </row>
    <row r="160" spans="2:4" customFormat="1" hidden="1" x14ac:dyDescent="0.25">
      <c r="B160" s="4" t="str">
        <f>"07-2-013"</f>
        <v>07-2-013</v>
      </c>
      <c r="C160" t="s">
        <v>572</v>
      </c>
      <c r="D160" s="327">
        <v>45292</v>
      </c>
    </row>
    <row r="161" spans="2:4" customFormat="1" hidden="1" x14ac:dyDescent="0.25">
      <c r="B161" s="4" t="str">
        <f>"07-2-016"</f>
        <v>07-2-016</v>
      </c>
      <c r="C161" t="s">
        <v>573</v>
      </c>
      <c r="D161" s="327">
        <v>45658</v>
      </c>
    </row>
    <row r="162" spans="2:4" customFormat="1" hidden="1" x14ac:dyDescent="0.25">
      <c r="B162" s="4" t="str">
        <f>"07-2-018"</f>
        <v>07-2-018</v>
      </c>
      <c r="C162" t="s">
        <v>574</v>
      </c>
      <c r="D162" s="327">
        <v>45292</v>
      </c>
    </row>
    <row r="163" spans="2:4" customFormat="1" hidden="1" x14ac:dyDescent="0.25">
      <c r="B163" s="4" t="str">
        <f>"07-2-020"</f>
        <v>07-2-020</v>
      </c>
      <c r="C163" t="s">
        <v>575</v>
      </c>
      <c r="D163" s="327">
        <v>45658</v>
      </c>
    </row>
    <row r="164" spans="2:4" customFormat="1" hidden="1" x14ac:dyDescent="0.25">
      <c r="B164" s="4" t="str">
        <f>"07-2-024"</f>
        <v>07-2-024</v>
      </c>
      <c r="C164" t="s">
        <v>576</v>
      </c>
      <c r="D164" s="327">
        <v>45292</v>
      </c>
    </row>
    <row r="165" spans="2:4" customFormat="1" hidden="1" x14ac:dyDescent="0.25">
      <c r="B165" s="4" t="str">
        <f>"07-2-027"</f>
        <v>07-2-027</v>
      </c>
      <c r="C165" t="s">
        <v>577</v>
      </c>
      <c r="D165" s="327">
        <v>45292</v>
      </c>
    </row>
    <row r="166" spans="2:4" customFormat="1" hidden="1" x14ac:dyDescent="0.25">
      <c r="B166" s="4" t="str">
        <f>"07-2-028"</f>
        <v>07-2-028</v>
      </c>
      <c r="C166" t="s">
        <v>578</v>
      </c>
      <c r="D166" s="327">
        <v>45292</v>
      </c>
    </row>
    <row r="167" spans="2:4" customFormat="1" hidden="1" x14ac:dyDescent="0.25">
      <c r="B167" s="4" t="str">
        <f>"07-2-030"</f>
        <v>07-2-030</v>
      </c>
      <c r="C167" t="s">
        <v>579</v>
      </c>
      <c r="D167" s="327">
        <v>45292</v>
      </c>
    </row>
    <row r="168" spans="2:4" customFormat="1" hidden="1" x14ac:dyDescent="0.25">
      <c r="B168" s="4" t="str">
        <f>"07-2-033"</f>
        <v>07-2-033</v>
      </c>
      <c r="C168" t="s">
        <v>580</v>
      </c>
      <c r="D168" s="327">
        <v>45658</v>
      </c>
    </row>
    <row r="169" spans="2:4" customFormat="1" hidden="1" x14ac:dyDescent="0.25">
      <c r="B169" s="4" t="str">
        <f>"07-2-036"</f>
        <v>07-2-036</v>
      </c>
      <c r="C169" t="s">
        <v>581</v>
      </c>
      <c r="D169" s="327">
        <v>45292</v>
      </c>
    </row>
    <row r="170" spans="2:4" customFormat="1" hidden="1" x14ac:dyDescent="0.25">
      <c r="B170" s="4" t="str">
        <f>"07-2-037"</f>
        <v>07-2-037</v>
      </c>
      <c r="C170" t="s">
        <v>582</v>
      </c>
      <c r="D170" s="327">
        <v>45658</v>
      </c>
    </row>
    <row r="171" spans="2:4" x14ac:dyDescent="0.25">
      <c r="B171" s="330" t="str">
        <f>"07-2-040"</f>
        <v>07-2-040</v>
      </c>
      <c r="C171" s="331" t="s">
        <v>1307</v>
      </c>
      <c r="D171" s="332">
        <v>44927</v>
      </c>
    </row>
    <row r="172" spans="2:4" customFormat="1" hidden="1" x14ac:dyDescent="0.25">
      <c r="B172" s="4" t="str">
        <f>"07-2-043"</f>
        <v>07-2-043</v>
      </c>
      <c r="C172" t="s">
        <v>583</v>
      </c>
      <c r="D172" s="327">
        <v>45658</v>
      </c>
    </row>
    <row r="173" spans="2:4" customFormat="1" hidden="1" x14ac:dyDescent="0.25">
      <c r="B173" s="4" t="str">
        <f>"07-2-044"</f>
        <v>07-2-044</v>
      </c>
      <c r="C173" t="s">
        <v>584</v>
      </c>
      <c r="D173" s="327">
        <v>45292</v>
      </c>
    </row>
    <row r="174" spans="2:4" customFormat="1" hidden="1" x14ac:dyDescent="0.25">
      <c r="B174" s="4" t="str">
        <f>"07-2-046"</f>
        <v>07-2-046</v>
      </c>
      <c r="C174" t="s">
        <v>585</v>
      </c>
      <c r="D174" s="327">
        <v>45292</v>
      </c>
    </row>
    <row r="175" spans="2:4" customFormat="1" hidden="1" x14ac:dyDescent="0.25">
      <c r="B175" s="4" t="str">
        <f>"07-2-060"</f>
        <v>07-2-060</v>
      </c>
      <c r="C175" t="s">
        <v>586</v>
      </c>
      <c r="D175" s="327">
        <v>46388</v>
      </c>
    </row>
    <row r="176" spans="2:4" customFormat="1" hidden="1" x14ac:dyDescent="0.25">
      <c r="B176" s="4" t="str">
        <f>"07-2-064"</f>
        <v>07-2-064</v>
      </c>
      <c r="C176" t="s">
        <v>587</v>
      </c>
      <c r="D176" s="327">
        <v>46388</v>
      </c>
    </row>
    <row r="177" spans="2:4" customFormat="1" hidden="1" x14ac:dyDescent="0.25">
      <c r="B177" s="4" t="str">
        <f>"07-2-067"</f>
        <v>07-2-067</v>
      </c>
      <c r="C177" t="s">
        <v>588</v>
      </c>
      <c r="D177" s="327">
        <v>45658</v>
      </c>
    </row>
    <row r="178" spans="2:4" customFormat="1" hidden="1" x14ac:dyDescent="0.25">
      <c r="B178" s="4" t="str">
        <f>"07-3-085"</f>
        <v>07-3-085</v>
      </c>
      <c r="C178" t="s">
        <v>589</v>
      </c>
      <c r="D178" s="327">
        <v>45658</v>
      </c>
    </row>
    <row r="179" spans="2:4" customFormat="1" hidden="1" x14ac:dyDescent="0.25">
      <c r="B179" s="4" t="str">
        <f>"07-3-088"</f>
        <v>07-3-088</v>
      </c>
      <c r="C179" t="s">
        <v>590</v>
      </c>
      <c r="D179" s="327">
        <v>45292</v>
      </c>
    </row>
    <row r="180" spans="2:4" customFormat="1" hidden="1" x14ac:dyDescent="0.25">
      <c r="B180" s="4" t="str">
        <f>"07-3-099"</f>
        <v>07-3-099</v>
      </c>
      <c r="C180" t="s">
        <v>591</v>
      </c>
      <c r="D180" s="327">
        <v>45658</v>
      </c>
    </row>
    <row r="181" spans="2:4" customFormat="1" hidden="1" x14ac:dyDescent="0.25">
      <c r="B181" s="4" t="str">
        <f>"07-3-102"</f>
        <v>07-3-102</v>
      </c>
      <c r="C181" t="s">
        <v>592</v>
      </c>
      <c r="D181" s="327">
        <v>45658</v>
      </c>
    </row>
    <row r="182" spans="2:4" customFormat="1" hidden="1" x14ac:dyDescent="0.25">
      <c r="B182" s="4" t="str">
        <f>"07-3-104"</f>
        <v>07-3-104</v>
      </c>
      <c r="C182" t="s">
        <v>593</v>
      </c>
      <c r="D182" s="327">
        <v>45658</v>
      </c>
    </row>
    <row r="183" spans="2:4" customFormat="1" hidden="1" x14ac:dyDescent="0.25">
      <c r="B183" s="4" t="str">
        <f>"07-3-105"</f>
        <v>07-3-105</v>
      </c>
      <c r="C183" t="s">
        <v>594</v>
      </c>
      <c r="D183" s="327">
        <v>46388</v>
      </c>
    </row>
    <row r="184" spans="2:4" customFormat="1" hidden="1" x14ac:dyDescent="0.25">
      <c r="B184" s="4" t="s">
        <v>595</v>
      </c>
      <c r="C184" t="s">
        <v>596</v>
      </c>
      <c r="D184" s="327">
        <v>45292</v>
      </c>
    </row>
    <row r="185" spans="2:4" customFormat="1" hidden="1" x14ac:dyDescent="0.25">
      <c r="B185" s="4" t="s">
        <v>597</v>
      </c>
      <c r="C185" t="s">
        <v>598</v>
      </c>
      <c r="D185" s="327">
        <v>45292</v>
      </c>
    </row>
    <row r="186" spans="2:4" customFormat="1" hidden="1" x14ac:dyDescent="0.25">
      <c r="B186" s="4" t="s">
        <v>599</v>
      </c>
      <c r="C186" t="s">
        <v>600</v>
      </c>
      <c r="D186" s="327">
        <v>45658</v>
      </c>
    </row>
    <row r="187" spans="2:4" customFormat="1" hidden="1" x14ac:dyDescent="0.25">
      <c r="B187" s="4" t="s">
        <v>601</v>
      </c>
      <c r="C187" t="s">
        <v>602</v>
      </c>
      <c r="D187" s="327">
        <v>45658</v>
      </c>
    </row>
    <row r="188" spans="2:4" customFormat="1" hidden="1" x14ac:dyDescent="0.25">
      <c r="B188" s="4" t="s">
        <v>603</v>
      </c>
      <c r="C188" t="s">
        <v>604</v>
      </c>
      <c r="D188" s="327">
        <v>45292</v>
      </c>
    </row>
    <row r="189" spans="2:4" customFormat="1" hidden="1" x14ac:dyDescent="0.25">
      <c r="B189" s="4" t="s">
        <v>605</v>
      </c>
      <c r="C189" t="s">
        <v>606</v>
      </c>
      <c r="D189" s="327">
        <v>45292</v>
      </c>
    </row>
    <row r="190" spans="2:4" customFormat="1" hidden="1" x14ac:dyDescent="0.25">
      <c r="B190" s="4" t="str">
        <f>"08-5-005"</f>
        <v>08-5-005</v>
      </c>
      <c r="C190" t="s">
        <v>607</v>
      </c>
      <c r="D190" s="327">
        <v>46388</v>
      </c>
    </row>
    <row r="191" spans="2:4" customFormat="1" hidden="1" x14ac:dyDescent="0.25">
      <c r="B191" s="4" t="str">
        <f>"08-5-006"</f>
        <v>08-5-006</v>
      </c>
      <c r="C191" t="s">
        <v>608</v>
      </c>
      <c r="D191" s="327">
        <v>46388</v>
      </c>
    </row>
    <row r="192" spans="2:4" customFormat="1" hidden="1" x14ac:dyDescent="0.25">
      <c r="B192" s="4" t="str">
        <f>"08-5-011"</f>
        <v>08-5-011</v>
      </c>
      <c r="C192" t="s">
        <v>609</v>
      </c>
      <c r="D192" s="327">
        <v>46388</v>
      </c>
    </row>
    <row r="193" spans="2:4" customFormat="1" hidden="1" x14ac:dyDescent="0.25">
      <c r="B193" s="4" t="str">
        <f>"08-5-016"</f>
        <v>08-5-016</v>
      </c>
      <c r="C193" t="s">
        <v>610</v>
      </c>
      <c r="D193" s="327">
        <v>46023</v>
      </c>
    </row>
    <row r="194" spans="2:4" customFormat="1" hidden="1" x14ac:dyDescent="0.25">
      <c r="B194" s="4" t="str">
        <f>"08-5-019"</f>
        <v>08-5-019</v>
      </c>
      <c r="C194" t="s">
        <v>611</v>
      </c>
      <c r="D194" s="327">
        <v>46023</v>
      </c>
    </row>
    <row r="195" spans="2:4" customFormat="1" hidden="1" x14ac:dyDescent="0.25">
      <c r="B195" s="4" t="str">
        <f>"08-5-020"</f>
        <v>08-5-020</v>
      </c>
      <c r="C195" t="s">
        <v>612</v>
      </c>
      <c r="D195" s="327">
        <v>46023</v>
      </c>
    </row>
    <row r="196" spans="2:4" customFormat="1" hidden="1" x14ac:dyDescent="0.25">
      <c r="B196" s="4" t="str">
        <f>"08-5-023"</f>
        <v>08-5-023</v>
      </c>
      <c r="C196" t="s">
        <v>613</v>
      </c>
      <c r="D196" s="327">
        <v>45658</v>
      </c>
    </row>
    <row r="197" spans="2:4" customFormat="1" hidden="1" x14ac:dyDescent="0.25">
      <c r="B197" s="4" t="str">
        <f>"08-5-024"</f>
        <v>08-5-024</v>
      </c>
      <c r="C197" t="s">
        <v>614</v>
      </c>
      <c r="D197" s="327">
        <v>45658</v>
      </c>
    </row>
    <row r="198" spans="2:4" customFormat="1" hidden="1" x14ac:dyDescent="0.25">
      <c r="B198" s="4" t="str">
        <f>"08-5-034"</f>
        <v>08-5-034</v>
      </c>
      <c r="C198" t="s">
        <v>615</v>
      </c>
      <c r="D198" s="327">
        <v>46023</v>
      </c>
    </row>
    <row r="199" spans="2:4" customFormat="1" hidden="1" x14ac:dyDescent="0.25">
      <c r="B199" s="4" t="str">
        <f>"08-5-036"</f>
        <v>08-5-036</v>
      </c>
      <c r="C199" t="s">
        <v>616</v>
      </c>
      <c r="D199" s="327">
        <v>46023</v>
      </c>
    </row>
    <row r="200" spans="2:4" customFormat="1" hidden="1" x14ac:dyDescent="0.25">
      <c r="B200" s="4" t="s">
        <v>617</v>
      </c>
      <c r="C200" t="s">
        <v>618</v>
      </c>
      <c r="D200" s="327">
        <v>46388</v>
      </c>
    </row>
    <row r="201" spans="2:4" customFormat="1" hidden="1" x14ac:dyDescent="0.25">
      <c r="B201" s="4" t="str">
        <f>"09-1-010"</f>
        <v>09-1-010</v>
      </c>
      <c r="C201" t="s">
        <v>619</v>
      </c>
      <c r="D201" s="327">
        <v>46023</v>
      </c>
    </row>
    <row r="202" spans="2:4" customFormat="1" hidden="1" x14ac:dyDescent="0.25">
      <c r="B202" s="4" t="str">
        <f>"09-1-012"</f>
        <v>09-1-012</v>
      </c>
      <c r="C202" t="s">
        <v>620</v>
      </c>
      <c r="D202" s="327">
        <v>46023</v>
      </c>
    </row>
    <row r="203" spans="2:4" customFormat="1" hidden="1" x14ac:dyDescent="0.25">
      <c r="B203" s="4" t="str">
        <f>"09-1-014"</f>
        <v>09-1-014</v>
      </c>
      <c r="C203" t="s">
        <v>621</v>
      </c>
      <c r="D203" s="327">
        <v>46388</v>
      </c>
    </row>
    <row r="204" spans="2:4" customFormat="1" hidden="1" x14ac:dyDescent="0.25">
      <c r="B204" s="4" t="str">
        <f>"09-1-015"</f>
        <v>09-1-015</v>
      </c>
      <c r="C204" t="s">
        <v>622</v>
      </c>
      <c r="D204" s="327">
        <v>46023</v>
      </c>
    </row>
    <row r="205" spans="2:4" customFormat="1" hidden="1" x14ac:dyDescent="0.25">
      <c r="B205" s="4" t="str">
        <f>"09-1-016"</f>
        <v>09-1-016</v>
      </c>
      <c r="C205" t="s">
        <v>623</v>
      </c>
      <c r="D205" s="327">
        <v>46388</v>
      </c>
    </row>
    <row r="206" spans="2:4" customFormat="1" hidden="1" x14ac:dyDescent="0.25">
      <c r="B206" s="4" t="str">
        <f>"09-1-018"</f>
        <v>09-1-018</v>
      </c>
      <c r="C206" t="s">
        <v>624</v>
      </c>
      <c r="D206" s="327">
        <v>46023</v>
      </c>
    </row>
    <row r="207" spans="2:4" customFormat="1" hidden="1" x14ac:dyDescent="0.25">
      <c r="B207" s="4" t="str">
        <f>"09-1-019"</f>
        <v>09-1-019</v>
      </c>
      <c r="C207" t="s">
        <v>625</v>
      </c>
      <c r="D207" s="327">
        <v>46023</v>
      </c>
    </row>
    <row r="208" spans="2:4" customFormat="1" hidden="1" x14ac:dyDescent="0.25">
      <c r="B208" s="4" t="str">
        <f>"09-1-020"</f>
        <v>09-1-020</v>
      </c>
      <c r="C208" t="s">
        <v>626</v>
      </c>
      <c r="D208" s="327">
        <v>46023</v>
      </c>
    </row>
    <row r="209" spans="2:4" customFormat="1" hidden="1" x14ac:dyDescent="0.25">
      <c r="B209" s="4" t="str">
        <f>"09-1-027"</f>
        <v>09-1-027</v>
      </c>
      <c r="C209" t="s">
        <v>627</v>
      </c>
      <c r="D209" s="327">
        <v>46023</v>
      </c>
    </row>
    <row r="210" spans="2:4" customFormat="1" hidden="1" x14ac:dyDescent="0.25">
      <c r="B210" s="4" t="str">
        <f>"09-1-028"</f>
        <v>09-1-028</v>
      </c>
      <c r="C210" t="s">
        <v>628</v>
      </c>
      <c r="D210" s="327">
        <v>45658</v>
      </c>
    </row>
    <row r="211" spans="2:4" customFormat="1" hidden="1" x14ac:dyDescent="0.25">
      <c r="B211" s="4" t="str">
        <f>"10-1-001"</f>
        <v>10-1-001</v>
      </c>
      <c r="C211" t="s">
        <v>629</v>
      </c>
      <c r="D211" s="327">
        <v>46388</v>
      </c>
    </row>
    <row r="212" spans="2:4" customFormat="1" hidden="1" x14ac:dyDescent="0.25">
      <c r="B212" s="4" t="str">
        <f>"10-1-003"</f>
        <v>10-1-003</v>
      </c>
      <c r="C212" t="s">
        <v>630</v>
      </c>
      <c r="D212" s="327">
        <v>46753</v>
      </c>
    </row>
    <row r="213" spans="2:4" customFormat="1" hidden="1" x14ac:dyDescent="0.25">
      <c r="B213" s="4" t="str">
        <f>"10-1-004"</f>
        <v>10-1-004</v>
      </c>
      <c r="C213" t="s">
        <v>631</v>
      </c>
      <c r="D213" s="327">
        <v>46388</v>
      </c>
    </row>
    <row r="214" spans="2:4" customFormat="1" hidden="1" x14ac:dyDescent="0.25">
      <c r="B214" s="4" t="str">
        <f>"10-1-006"</f>
        <v>10-1-006</v>
      </c>
      <c r="C214" t="s">
        <v>632</v>
      </c>
      <c r="D214" s="327">
        <v>46753</v>
      </c>
    </row>
    <row r="215" spans="2:4" customFormat="1" hidden="1" x14ac:dyDescent="0.25">
      <c r="B215" s="4" t="str">
        <f>"10-1-008"</f>
        <v>10-1-008</v>
      </c>
      <c r="C215" t="s">
        <v>633</v>
      </c>
      <c r="D215" s="327">
        <v>46388</v>
      </c>
    </row>
    <row r="216" spans="2:4" customFormat="1" hidden="1" x14ac:dyDescent="0.25">
      <c r="B216" s="4" t="str">
        <f>"10-1-010"</f>
        <v>10-1-010</v>
      </c>
      <c r="C216" t="s">
        <v>634</v>
      </c>
      <c r="D216" s="327">
        <v>46753</v>
      </c>
    </row>
    <row r="217" spans="2:4" customFormat="1" hidden="1" x14ac:dyDescent="0.25">
      <c r="B217" s="4" t="str">
        <f>"10-1-011"</f>
        <v>10-1-011</v>
      </c>
      <c r="C217" t="s">
        <v>635</v>
      </c>
      <c r="D217" s="327">
        <v>46753</v>
      </c>
    </row>
    <row r="218" spans="2:4" customFormat="1" hidden="1" x14ac:dyDescent="0.25">
      <c r="B218" s="4" t="str">
        <f>"10-1-015"</f>
        <v>10-1-015</v>
      </c>
      <c r="C218" t="s">
        <v>636</v>
      </c>
      <c r="D218" s="327">
        <v>46388</v>
      </c>
    </row>
    <row r="219" spans="2:4" customFormat="1" hidden="1" x14ac:dyDescent="0.25">
      <c r="B219" s="4" t="str">
        <f>"10-1-016"</f>
        <v>10-1-016</v>
      </c>
      <c r="C219" t="s">
        <v>637</v>
      </c>
      <c r="D219" s="327">
        <v>46023</v>
      </c>
    </row>
    <row r="220" spans="2:4" customFormat="1" hidden="1" x14ac:dyDescent="0.25">
      <c r="B220" s="4" t="str">
        <f>"10-1-017"</f>
        <v>10-1-017</v>
      </c>
      <c r="C220" t="s">
        <v>638</v>
      </c>
      <c r="D220" s="327">
        <v>46023</v>
      </c>
    </row>
    <row r="221" spans="2:4" customFormat="1" hidden="1" x14ac:dyDescent="0.25">
      <c r="B221" s="4" t="str">
        <f>"10-1-018"</f>
        <v>10-1-018</v>
      </c>
      <c r="C221" t="s">
        <v>639</v>
      </c>
      <c r="D221" s="327">
        <v>46388</v>
      </c>
    </row>
    <row r="222" spans="2:4" customFormat="1" hidden="1" x14ac:dyDescent="0.25">
      <c r="B222" s="4" t="str">
        <f>"10-1-026"</f>
        <v>10-1-026</v>
      </c>
      <c r="C222" t="s">
        <v>640</v>
      </c>
      <c r="D222" s="327">
        <v>46388</v>
      </c>
    </row>
    <row r="223" spans="2:4" customFormat="1" hidden="1" x14ac:dyDescent="0.25">
      <c r="B223" s="4" t="str">
        <f>"10-1-027"</f>
        <v>10-1-027</v>
      </c>
      <c r="C223" t="s">
        <v>641</v>
      </c>
      <c r="D223" s="327">
        <v>46753</v>
      </c>
    </row>
    <row r="224" spans="2:4" customFormat="1" hidden="1" x14ac:dyDescent="0.25">
      <c r="B224" s="4" t="str">
        <f>"10-1-032"</f>
        <v>10-1-032</v>
      </c>
      <c r="C224" t="s">
        <v>642</v>
      </c>
      <c r="D224" s="327">
        <v>46388</v>
      </c>
    </row>
    <row r="225" spans="2:4" customFormat="1" hidden="1" x14ac:dyDescent="0.25">
      <c r="B225" s="4" t="s">
        <v>643</v>
      </c>
      <c r="C225" t="s">
        <v>644</v>
      </c>
      <c r="D225" s="327">
        <v>46023</v>
      </c>
    </row>
    <row r="226" spans="2:4" customFormat="1" hidden="1" x14ac:dyDescent="0.25">
      <c r="B226" s="4" t="str">
        <f>"11-1-007"</f>
        <v>11-1-007</v>
      </c>
      <c r="C226" t="s">
        <v>645</v>
      </c>
      <c r="D226" s="327">
        <v>46753</v>
      </c>
    </row>
    <row r="227" spans="2:4" customFormat="1" hidden="1" x14ac:dyDescent="0.25">
      <c r="B227" s="4" t="str">
        <f>"11-1-013"</f>
        <v>11-1-013</v>
      </c>
      <c r="C227" t="s">
        <v>646</v>
      </c>
      <c r="D227" s="327">
        <v>46753</v>
      </c>
    </row>
    <row r="228" spans="2:4" customFormat="1" hidden="1" x14ac:dyDescent="0.25">
      <c r="B228" s="4" t="str">
        <f>"11-1-015"</f>
        <v>11-1-015</v>
      </c>
      <c r="C228" t="s">
        <v>647</v>
      </c>
      <c r="D228" s="327">
        <v>47119</v>
      </c>
    </row>
    <row r="229" spans="2:4" customFormat="1" hidden="1" x14ac:dyDescent="0.25">
      <c r="B229" s="4" t="str">
        <f>"11-1-018"</f>
        <v>11-1-018</v>
      </c>
      <c r="C229" t="s">
        <v>648</v>
      </c>
      <c r="D229" s="327">
        <v>46388</v>
      </c>
    </row>
    <row r="230" spans="2:4" customFormat="1" hidden="1" x14ac:dyDescent="0.25">
      <c r="B230" s="4" t="str">
        <f>"11-1-022"</f>
        <v>11-1-022</v>
      </c>
      <c r="C230" t="s">
        <v>649</v>
      </c>
      <c r="D230" s="327">
        <v>46753</v>
      </c>
    </row>
    <row r="231" spans="2:4" customFormat="1" hidden="1" x14ac:dyDescent="0.25">
      <c r="B231" s="4" t="str">
        <f>"11-1-025"</f>
        <v>11-1-025</v>
      </c>
      <c r="C231" t="s">
        <v>650</v>
      </c>
      <c r="D231" s="327">
        <v>47119</v>
      </c>
    </row>
    <row r="232" spans="2:4" customFormat="1" hidden="1" x14ac:dyDescent="0.25">
      <c r="B232" s="4" t="str">
        <f>"11-1-027"</f>
        <v>11-1-027</v>
      </c>
      <c r="C232" t="s">
        <v>651</v>
      </c>
      <c r="D232" s="327">
        <v>46753</v>
      </c>
    </row>
    <row r="233" spans="2:4" customFormat="1" hidden="1" x14ac:dyDescent="0.25">
      <c r="B233" s="4" t="str">
        <f>"11-1-028"</f>
        <v>11-1-028</v>
      </c>
      <c r="C233" t="s">
        <v>652</v>
      </c>
      <c r="D233" s="327">
        <v>46388</v>
      </c>
    </row>
    <row r="234" spans="2:4" customFormat="1" hidden="1" x14ac:dyDescent="0.25">
      <c r="B234" s="4" t="str">
        <f>"11-1-029"</f>
        <v>11-1-029</v>
      </c>
      <c r="C234" t="s">
        <v>653</v>
      </c>
      <c r="D234" s="327">
        <v>46753</v>
      </c>
    </row>
    <row r="235" spans="2:4" customFormat="1" hidden="1" x14ac:dyDescent="0.25">
      <c r="B235" s="4" t="str">
        <f>"11-1-030"</f>
        <v>11-1-030</v>
      </c>
      <c r="C235" t="s">
        <v>654</v>
      </c>
      <c r="D235" s="327">
        <v>46753</v>
      </c>
    </row>
    <row r="236" spans="2:4" customFormat="1" hidden="1" x14ac:dyDescent="0.25">
      <c r="B236" s="4" t="str">
        <f>"11-1-031"</f>
        <v>11-1-031</v>
      </c>
      <c r="C236" t="s">
        <v>655</v>
      </c>
      <c r="D236" s="327">
        <v>46753</v>
      </c>
    </row>
    <row r="237" spans="2:4" customFormat="1" hidden="1" x14ac:dyDescent="0.25">
      <c r="B237" s="4" t="str">
        <f>"11-1-032"</f>
        <v>11-1-032</v>
      </c>
      <c r="C237" t="s">
        <v>656</v>
      </c>
      <c r="D237" s="327">
        <v>47119</v>
      </c>
    </row>
    <row r="238" spans="2:4" customFormat="1" hidden="1" x14ac:dyDescent="0.25">
      <c r="B238" s="4" t="str">
        <f>"11-1-034"</f>
        <v>11-1-034</v>
      </c>
      <c r="C238" t="s">
        <v>657</v>
      </c>
      <c r="D238" s="327">
        <v>46753</v>
      </c>
    </row>
    <row r="239" spans="2:4" customFormat="1" hidden="1" x14ac:dyDescent="0.25">
      <c r="B239" s="4" t="s">
        <v>658</v>
      </c>
      <c r="C239" t="s">
        <v>659</v>
      </c>
      <c r="D239" s="327">
        <v>47119</v>
      </c>
    </row>
    <row r="240" spans="2:4" customFormat="1" hidden="1" x14ac:dyDescent="0.25">
      <c r="B240" s="4" t="str">
        <f>"12-1-001"</f>
        <v>12-1-001</v>
      </c>
      <c r="C240" t="s">
        <v>660</v>
      </c>
      <c r="D240" s="327">
        <v>47119</v>
      </c>
    </row>
    <row r="241" spans="2:4" customFormat="1" hidden="1" x14ac:dyDescent="0.25">
      <c r="B241" s="4" t="str">
        <f>"12-1-003"</f>
        <v>12-1-003</v>
      </c>
      <c r="C241" t="s">
        <v>661</v>
      </c>
      <c r="D241" s="327">
        <v>47849</v>
      </c>
    </row>
    <row r="242" spans="2:4" customFormat="1" hidden="1" x14ac:dyDescent="0.25">
      <c r="B242" s="4" t="str">
        <f>"12-1-009"</f>
        <v>12-1-009</v>
      </c>
      <c r="C242" t="s">
        <v>662</v>
      </c>
      <c r="D242" s="327">
        <v>47119</v>
      </c>
    </row>
    <row r="243" spans="2:4" customFormat="1" hidden="1" x14ac:dyDescent="0.25">
      <c r="B243" s="4" t="str">
        <f>"12-1-011"</f>
        <v>12-1-011</v>
      </c>
      <c r="C243" t="s">
        <v>663</v>
      </c>
      <c r="D243" s="327">
        <v>47119</v>
      </c>
    </row>
    <row r="244" spans="2:4" customFormat="1" hidden="1" x14ac:dyDescent="0.25">
      <c r="B244" s="4" t="str">
        <f>"12-1-013"</f>
        <v>12-1-013</v>
      </c>
      <c r="C244" t="s">
        <v>664</v>
      </c>
      <c r="D244" s="327">
        <v>46753</v>
      </c>
    </row>
    <row r="245" spans="2:4" customFormat="1" hidden="1" x14ac:dyDescent="0.25">
      <c r="B245" s="4" t="str">
        <f>"12-1-017"</f>
        <v>12-1-017</v>
      </c>
      <c r="C245" t="s">
        <v>665</v>
      </c>
      <c r="D245" s="327">
        <v>47119</v>
      </c>
    </row>
    <row r="246" spans="2:4" customFormat="1" hidden="1" x14ac:dyDescent="0.25">
      <c r="B246" s="4" t="str">
        <f>"12-1-018"</f>
        <v>12-1-018</v>
      </c>
      <c r="C246" t="s">
        <v>666</v>
      </c>
      <c r="D246" s="327">
        <v>47849</v>
      </c>
    </row>
    <row r="247" spans="2:4" customFormat="1" hidden="1" x14ac:dyDescent="0.25">
      <c r="B247" s="4" t="str">
        <f>"12-1-021"</f>
        <v>12-1-021</v>
      </c>
      <c r="C247" t="s">
        <v>667</v>
      </c>
      <c r="D247" s="327">
        <v>47119</v>
      </c>
    </row>
    <row r="248" spans="2:4" customFormat="1" hidden="1" x14ac:dyDescent="0.25">
      <c r="B248" s="4" t="str">
        <f>"12-1-026"</f>
        <v>12-1-026</v>
      </c>
      <c r="C248" t="s">
        <v>668</v>
      </c>
      <c r="D248" s="327">
        <v>47484</v>
      </c>
    </row>
    <row r="249" spans="2:4" customFormat="1" hidden="1" x14ac:dyDescent="0.25">
      <c r="B249" s="4" t="str">
        <f>"12-1-027"</f>
        <v>12-1-027</v>
      </c>
      <c r="C249" t="s">
        <v>669</v>
      </c>
      <c r="D249" s="327">
        <v>47484</v>
      </c>
    </row>
    <row r="250" spans="2:4" customFormat="1" hidden="1" x14ac:dyDescent="0.25">
      <c r="B250" s="4" t="str">
        <f>"12-1-028"</f>
        <v>12-1-028</v>
      </c>
      <c r="C250" t="s">
        <v>670</v>
      </c>
      <c r="D250" s="327">
        <v>47119</v>
      </c>
    </row>
    <row r="251" spans="2:4" customFormat="1" hidden="1" x14ac:dyDescent="0.25">
      <c r="B251" s="4" t="str">
        <f>"12-1-029"</f>
        <v>12-1-029</v>
      </c>
      <c r="C251" t="s">
        <v>671</v>
      </c>
      <c r="D251" s="327">
        <v>47119</v>
      </c>
    </row>
    <row r="252" spans="2:4" customFormat="1" hidden="1" x14ac:dyDescent="0.25">
      <c r="B252" s="4" t="str">
        <f>"12-1-030"</f>
        <v>12-1-030</v>
      </c>
      <c r="C252" t="s">
        <v>672</v>
      </c>
      <c r="D252" s="327">
        <v>47849</v>
      </c>
    </row>
    <row r="253" spans="2:4" customFormat="1" hidden="1" x14ac:dyDescent="0.25">
      <c r="B253" s="4" t="str">
        <f>"12-1-031"</f>
        <v>12-1-031</v>
      </c>
      <c r="C253" t="s">
        <v>673</v>
      </c>
      <c r="D253" s="327">
        <v>47484</v>
      </c>
    </row>
    <row r="254" spans="2:4" customFormat="1" hidden="1" x14ac:dyDescent="0.25">
      <c r="B254" s="4" t="str">
        <f>"12-1-032"</f>
        <v>12-1-032</v>
      </c>
      <c r="C254" t="s">
        <v>674</v>
      </c>
      <c r="D254" s="327">
        <v>46753</v>
      </c>
    </row>
    <row r="255" spans="2:4" customFormat="1" hidden="1" x14ac:dyDescent="0.25">
      <c r="B255" s="4" t="str">
        <f>"12-1-033"</f>
        <v>12-1-033</v>
      </c>
      <c r="C255" t="s">
        <v>675</v>
      </c>
      <c r="D255" s="327">
        <v>47119</v>
      </c>
    </row>
    <row r="256" spans="2:4" customFormat="1" hidden="1" x14ac:dyDescent="0.25">
      <c r="B256" s="4" t="str">
        <f>"12-1-034"</f>
        <v>12-1-034</v>
      </c>
      <c r="C256" t="s">
        <v>676</v>
      </c>
      <c r="D256" s="327">
        <v>47484</v>
      </c>
    </row>
    <row r="257" spans="2:4" customFormat="1" hidden="1" x14ac:dyDescent="0.25">
      <c r="B257" s="4" t="str">
        <f>"12-1-035"</f>
        <v>12-1-035</v>
      </c>
      <c r="C257" t="s">
        <v>677</v>
      </c>
      <c r="D257" s="327">
        <v>47484</v>
      </c>
    </row>
    <row r="258" spans="2:4" customFormat="1" hidden="1" x14ac:dyDescent="0.25">
      <c r="B258" s="4" t="str">
        <f>"12-1-036"</f>
        <v>12-1-036</v>
      </c>
      <c r="C258" t="s">
        <v>678</v>
      </c>
      <c r="D258" s="327">
        <v>46753</v>
      </c>
    </row>
    <row r="259" spans="2:4" customFormat="1" hidden="1" x14ac:dyDescent="0.25">
      <c r="B259" s="4" t="str">
        <f>"12-1-037"</f>
        <v>12-1-037</v>
      </c>
      <c r="C259" t="s">
        <v>679</v>
      </c>
      <c r="D259" s="327">
        <v>47119</v>
      </c>
    </row>
    <row r="260" spans="2:4" customFormat="1" hidden="1" x14ac:dyDescent="0.25">
      <c r="B260" s="4" t="str">
        <f>"12-1-038"</f>
        <v>12-1-038</v>
      </c>
      <c r="C260" t="s">
        <v>680</v>
      </c>
      <c r="D260" s="327">
        <v>47849</v>
      </c>
    </row>
    <row r="261" spans="2:4" customFormat="1" hidden="1" x14ac:dyDescent="0.25">
      <c r="B261" s="4" t="str">
        <f>"12-1-039"</f>
        <v>12-1-039</v>
      </c>
      <c r="C261" t="s">
        <v>681</v>
      </c>
      <c r="D261" s="327">
        <v>47849</v>
      </c>
    </row>
    <row r="262" spans="2:4" customFormat="1" hidden="1" x14ac:dyDescent="0.25">
      <c r="B262" s="4" t="str">
        <f>"12-1-040"</f>
        <v>12-1-040</v>
      </c>
      <c r="C262" t="s">
        <v>682</v>
      </c>
      <c r="D262" s="327">
        <v>47484</v>
      </c>
    </row>
    <row r="263" spans="2:4" customFormat="1" hidden="1" x14ac:dyDescent="0.25">
      <c r="B263" s="4" t="str">
        <f>"12-1-041"</f>
        <v>12-1-041</v>
      </c>
      <c r="C263" t="s">
        <v>683</v>
      </c>
      <c r="D263" s="327">
        <v>47484</v>
      </c>
    </row>
    <row r="264" spans="2:4" customFormat="1" hidden="1" x14ac:dyDescent="0.25">
      <c r="B264" s="4" t="str">
        <f>"12-1-042"</f>
        <v>12-1-042</v>
      </c>
      <c r="C264" t="s">
        <v>684</v>
      </c>
      <c r="D264" s="327">
        <v>47119</v>
      </c>
    </row>
    <row r="265" spans="2:4" customFormat="1" hidden="1" x14ac:dyDescent="0.25">
      <c r="B265" s="4" t="str">
        <f>"12-1-043"</f>
        <v>12-1-043</v>
      </c>
      <c r="C265" t="s">
        <v>685</v>
      </c>
      <c r="D265" s="327">
        <v>47484</v>
      </c>
    </row>
    <row r="266" spans="2:4" customFormat="1" hidden="1" x14ac:dyDescent="0.25">
      <c r="B266" s="4" t="str">
        <f>"12-1-044"</f>
        <v>12-1-044</v>
      </c>
      <c r="C266" t="s">
        <v>686</v>
      </c>
      <c r="D266" s="327">
        <v>47849</v>
      </c>
    </row>
    <row r="267" spans="2:4" customFormat="1" hidden="1" x14ac:dyDescent="0.25">
      <c r="B267" s="4" t="str">
        <f>"12-1-045"</f>
        <v>12-1-045</v>
      </c>
      <c r="C267" t="s">
        <v>687</v>
      </c>
      <c r="D267" s="327">
        <v>47849</v>
      </c>
    </row>
    <row r="268" spans="2:4" customFormat="1" hidden="1" x14ac:dyDescent="0.25">
      <c r="B268" s="4" t="str">
        <f>"12-1-047"</f>
        <v>12-1-047</v>
      </c>
      <c r="C268" t="s">
        <v>688</v>
      </c>
      <c r="D268" s="327">
        <v>47119</v>
      </c>
    </row>
    <row r="269" spans="2:4" customFormat="1" hidden="1" x14ac:dyDescent="0.25">
      <c r="B269" s="4" t="str">
        <f>"12-1-048"</f>
        <v>12-1-048</v>
      </c>
      <c r="C269" t="s">
        <v>689</v>
      </c>
      <c r="D269" s="327">
        <v>47119</v>
      </c>
    </row>
    <row r="270" spans="2:4" customFormat="1" hidden="1" x14ac:dyDescent="0.25">
      <c r="B270" s="4" t="str">
        <f>"12-1-051"</f>
        <v>12-1-051</v>
      </c>
      <c r="C270" t="s">
        <v>690</v>
      </c>
      <c r="D270" s="327">
        <v>46753</v>
      </c>
    </row>
    <row r="271" spans="2:4" customFormat="1" hidden="1" x14ac:dyDescent="0.25">
      <c r="B271" s="4" t="str">
        <f>"12-1-052"</f>
        <v>12-1-052</v>
      </c>
      <c r="C271" t="s">
        <v>691</v>
      </c>
      <c r="D271" s="327">
        <v>46753</v>
      </c>
    </row>
    <row r="272" spans="2:4" customFormat="1" hidden="1" x14ac:dyDescent="0.25">
      <c r="B272" s="4" t="str">
        <f>"12-1-054"</f>
        <v>12-1-054</v>
      </c>
      <c r="C272" t="s">
        <v>692</v>
      </c>
      <c r="D272" s="327">
        <v>46753</v>
      </c>
    </row>
    <row r="273" spans="2:4" customFormat="1" hidden="1" x14ac:dyDescent="0.25">
      <c r="B273" s="4" t="str">
        <f>"12-1-055"</f>
        <v>12-1-055</v>
      </c>
      <c r="C273" t="s">
        <v>693</v>
      </c>
      <c r="D273" s="327">
        <v>46753</v>
      </c>
    </row>
    <row r="274" spans="2:4" customFormat="1" hidden="1" x14ac:dyDescent="0.25">
      <c r="B274" s="4" t="s">
        <v>694</v>
      </c>
      <c r="C274" t="s">
        <v>695</v>
      </c>
      <c r="D274" s="327">
        <v>46753</v>
      </c>
    </row>
    <row r="275" spans="2:4" customFormat="1" hidden="1" x14ac:dyDescent="0.25">
      <c r="B275" s="4" t="s">
        <v>696</v>
      </c>
      <c r="C275" t="s">
        <v>697</v>
      </c>
      <c r="D275" s="4"/>
    </row>
    <row r="276" spans="2:4" customFormat="1" hidden="1" x14ac:dyDescent="0.25">
      <c r="B276" s="4" t="str">
        <f>"13-1-002"</f>
        <v>13-1-002</v>
      </c>
      <c r="C276" t="s">
        <v>698</v>
      </c>
      <c r="D276" s="327">
        <v>47484</v>
      </c>
    </row>
    <row r="277" spans="2:4" customFormat="1" hidden="1" x14ac:dyDescent="0.25">
      <c r="B277" s="4" t="str">
        <f>"13-1-006"</f>
        <v>13-1-006</v>
      </c>
      <c r="C277" t="s">
        <v>699</v>
      </c>
      <c r="D277" s="327">
        <v>47484</v>
      </c>
    </row>
    <row r="278" spans="2:4" customFormat="1" hidden="1" x14ac:dyDescent="0.25">
      <c r="B278" s="4" t="str">
        <f>"13-1-007"</f>
        <v>13-1-007</v>
      </c>
      <c r="C278" t="s">
        <v>700</v>
      </c>
      <c r="D278" s="327">
        <v>47484</v>
      </c>
    </row>
    <row r="279" spans="2:4" customFormat="1" hidden="1" x14ac:dyDescent="0.25">
      <c r="B279" s="4" t="str">
        <f>"13-1-012"</f>
        <v>13-1-012</v>
      </c>
      <c r="C279" t="s">
        <v>701</v>
      </c>
      <c r="D279" s="327">
        <v>47849</v>
      </c>
    </row>
    <row r="280" spans="2:4" customFormat="1" hidden="1" x14ac:dyDescent="0.25">
      <c r="B280" s="4" t="str">
        <f>"13-1-014"</f>
        <v>13-1-014</v>
      </c>
      <c r="C280" t="s">
        <v>702</v>
      </c>
      <c r="D280" s="327">
        <v>47484</v>
      </c>
    </row>
    <row r="281" spans="2:4" customFormat="1" hidden="1" x14ac:dyDescent="0.25">
      <c r="B281" s="4" t="str">
        <f>"13-1-015"</f>
        <v>13-1-015</v>
      </c>
      <c r="C281" t="s">
        <v>703</v>
      </c>
      <c r="D281" s="327">
        <v>47484</v>
      </c>
    </row>
    <row r="282" spans="2:4" customFormat="1" hidden="1" x14ac:dyDescent="0.25">
      <c r="B282" s="4" t="str">
        <f>"13-1-016"</f>
        <v>13-1-016</v>
      </c>
      <c r="C282" t="s">
        <v>704</v>
      </c>
      <c r="D282" s="327">
        <v>47484</v>
      </c>
    </row>
    <row r="283" spans="2:4" customFormat="1" hidden="1" x14ac:dyDescent="0.25">
      <c r="B283" s="4" t="str">
        <f>"13-1-017"</f>
        <v>13-1-017</v>
      </c>
      <c r="C283" t="s">
        <v>705</v>
      </c>
      <c r="D283" s="327">
        <v>47484</v>
      </c>
    </row>
    <row r="284" spans="2:4" customFormat="1" hidden="1" x14ac:dyDescent="0.25">
      <c r="B284" s="4" t="str">
        <f>"13-1-032"</f>
        <v>13-1-032</v>
      </c>
      <c r="C284" t="s">
        <v>706</v>
      </c>
      <c r="D284" s="327">
        <v>47849</v>
      </c>
    </row>
    <row r="285" spans="2:4" customFormat="1" hidden="1" x14ac:dyDescent="0.25">
      <c r="B285" s="4" t="str">
        <f>"13-1-033"</f>
        <v>13-1-033</v>
      </c>
      <c r="C285" t="s">
        <v>707</v>
      </c>
      <c r="D285" s="327">
        <v>47849</v>
      </c>
    </row>
    <row r="286" spans="2:4" customFormat="1" hidden="1" x14ac:dyDescent="0.25">
      <c r="B286" s="4" t="str">
        <f>"13-1-034"</f>
        <v>13-1-034</v>
      </c>
      <c r="C286" t="s">
        <v>708</v>
      </c>
      <c r="D286" s="327">
        <v>47484</v>
      </c>
    </row>
    <row r="287" spans="2:4" customFormat="1" hidden="1" x14ac:dyDescent="0.25">
      <c r="B287" s="4" t="str">
        <f>"13-1-035"</f>
        <v>13-1-035</v>
      </c>
      <c r="C287" t="s">
        <v>709</v>
      </c>
      <c r="D287" s="327">
        <v>47484</v>
      </c>
    </row>
    <row r="288" spans="2:4" customFormat="1" hidden="1" x14ac:dyDescent="0.25">
      <c r="B288" s="4" t="str">
        <f>"13-1-039"</f>
        <v>13-1-039</v>
      </c>
      <c r="C288" t="s">
        <v>710</v>
      </c>
      <c r="D288" s="327">
        <v>47484</v>
      </c>
    </row>
    <row r="289" spans="2:4" customFormat="1" hidden="1" x14ac:dyDescent="0.25">
      <c r="B289" s="4" t="str">
        <f>"13-1-040"</f>
        <v>13-1-040</v>
      </c>
      <c r="C289" t="s">
        <v>711</v>
      </c>
      <c r="D289" s="327">
        <v>47484</v>
      </c>
    </row>
    <row r="290" spans="2:4" customFormat="1" hidden="1" x14ac:dyDescent="0.25">
      <c r="B290" s="4" t="str">
        <f>"13-1-041"</f>
        <v>13-1-041</v>
      </c>
      <c r="C290" t="s">
        <v>712</v>
      </c>
      <c r="D290" s="327">
        <v>47119</v>
      </c>
    </row>
    <row r="291" spans="2:4" customFormat="1" hidden="1" x14ac:dyDescent="0.25">
      <c r="B291" s="4" t="str">
        <f>"13-1-044"</f>
        <v>13-1-044</v>
      </c>
      <c r="C291" t="s">
        <v>713</v>
      </c>
      <c r="D291" s="327">
        <v>47484</v>
      </c>
    </row>
    <row r="292" spans="2:4" customFormat="1" hidden="1" x14ac:dyDescent="0.25">
      <c r="B292" s="4" t="str">
        <f>"13-1-046"</f>
        <v>13-1-046</v>
      </c>
      <c r="C292" t="s">
        <v>714</v>
      </c>
      <c r="D292" s="327">
        <v>47119</v>
      </c>
    </row>
    <row r="293" spans="2:4" customFormat="1" hidden="1" x14ac:dyDescent="0.25">
      <c r="B293" s="4" t="str">
        <f>"13-1-048"</f>
        <v>13-1-048</v>
      </c>
      <c r="C293" t="s">
        <v>715</v>
      </c>
      <c r="D293" s="327">
        <v>47484</v>
      </c>
    </row>
    <row r="294" spans="2:4" customFormat="1" hidden="1" x14ac:dyDescent="0.25">
      <c r="B294" s="4" t="str">
        <f>"13-1-049"</f>
        <v>13-1-049</v>
      </c>
      <c r="C294" t="s">
        <v>716</v>
      </c>
      <c r="D294" s="327">
        <v>47484</v>
      </c>
    </row>
    <row r="295" spans="2:4" customFormat="1" hidden="1" x14ac:dyDescent="0.25">
      <c r="B295" s="4" t="str">
        <f>"13-1-050"</f>
        <v>13-1-050</v>
      </c>
      <c r="C295" t="s">
        <v>717</v>
      </c>
      <c r="D295" s="327">
        <v>48214</v>
      </c>
    </row>
    <row r="296" spans="2:4" customFormat="1" hidden="1" x14ac:dyDescent="0.25">
      <c r="B296" s="4" t="str">
        <f>"13-1-052"</f>
        <v>13-1-052</v>
      </c>
      <c r="C296" t="s">
        <v>718</v>
      </c>
      <c r="D296" s="327">
        <v>47484</v>
      </c>
    </row>
    <row r="297" spans="2:4" customFormat="1" hidden="1" x14ac:dyDescent="0.25">
      <c r="B297" s="4" t="str">
        <f>"14-1-001"</f>
        <v>14-1-001</v>
      </c>
      <c r="C297" t="s">
        <v>719</v>
      </c>
      <c r="D297" s="327">
        <v>47484</v>
      </c>
    </row>
    <row r="298" spans="2:4" customFormat="1" hidden="1" x14ac:dyDescent="0.25">
      <c r="B298" s="4" t="s">
        <v>720</v>
      </c>
      <c r="C298" t="s">
        <v>721</v>
      </c>
      <c r="D298" s="327">
        <v>47119</v>
      </c>
    </row>
    <row r="299" spans="2:4" customFormat="1" hidden="1" x14ac:dyDescent="0.25">
      <c r="B299" s="4" t="s">
        <v>722</v>
      </c>
      <c r="C299" t="s">
        <v>723</v>
      </c>
      <c r="D299" s="327">
        <v>47484</v>
      </c>
    </row>
    <row r="300" spans="2:4" customFormat="1" hidden="1" x14ac:dyDescent="0.25">
      <c r="B300" s="4" t="s">
        <v>724</v>
      </c>
      <c r="C300" t="s">
        <v>725</v>
      </c>
      <c r="D300" s="327">
        <v>47484</v>
      </c>
    </row>
    <row r="301" spans="2:4" customFormat="1" hidden="1" x14ac:dyDescent="0.25">
      <c r="B301" s="4" t="s">
        <v>726</v>
      </c>
      <c r="C301" t="s">
        <v>727</v>
      </c>
      <c r="D301" s="327">
        <v>47484</v>
      </c>
    </row>
    <row r="302" spans="2:4" customFormat="1" hidden="1" x14ac:dyDescent="0.25">
      <c r="B302" s="4" t="s">
        <v>728</v>
      </c>
      <c r="C302" t="s">
        <v>729</v>
      </c>
      <c r="D302" s="327">
        <v>47484</v>
      </c>
    </row>
    <row r="303" spans="2:4" customFormat="1" hidden="1" x14ac:dyDescent="0.25">
      <c r="B303" s="4" t="str">
        <f>"15-1-004"</f>
        <v>15-1-004</v>
      </c>
      <c r="C303" t="s">
        <v>730</v>
      </c>
      <c r="D303" s="327">
        <v>48214</v>
      </c>
    </row>
    <row r="304" spans="2:4" customFormat="1" hidden="1" x14ac:dyDescent="0.25">
      <c r="B304" s="4" t="str">
        <f>"15-1-005"</f>
        <v>15-1-005</v>
      </c>
      <c r="C304" t="s">
        <v>731</v>
      </c>
      <c r="D304" s="327">
        <v>48214</v>
      </c>
    </row>
    <row r="305" spans="2:4" customFormat="1" hidden="1" x14ac:dyDescent="0.25">
      <c r="B305" s="4" t="str">
        <f>"15-1-007"</f>
        <v>15-1-007</v>
      </c>
      <c r="C305" t="s">
        <v>732</v>
      </c>
      <c r="D305" s="327">
        <v>47849</v>
      </c>
    </row>
    <row r="306" spans="2:4" customFormat="1" hidden="1" x14ac:dyDescent="0.25">
      <c r="B306" s="4" t="str">
        <f>"15-1-018"</f>
        <v>15-1-018</v>
      </c>
      <c r="C306" t="s">
        <v>733</v>
      </c>
      <c r="D306" s="327">
        <v>48214</v>
      </c>
    </row>
    <row r="307" spans="2:4" customFormat="1" hidden="1" x14ac:dyDescent="0.25">
      <c r="B307" s="4" t="str">
        <f>"15-1-019"</f>
        <v>15-1-019</v>
      </c>
      <c r="C307" t="s">
        <v>734</v>
      </c>
      <c r="D307" s="327">
        <v>48214</v>
      </c>
    </row>
    <row r="308" spans="2:4" customFormat="1" hidden="1" x14ac:dyDescent="0.25">
      <c r="B308" s="4" t="str">
        <f>"15-1-020"</f>
        <v>15-1-020</v>
      </c>
      <c r="C308" t="s">
        <v>735</v>
      </c>
      <c r="D308" s="327">
        <v>48214</v>
      </c>
    </row>
    <row r="309" spans="2:4" customFormat="1" hidden="1" x14ac:dyDescent="0.25">
      <c r="B309" s="4" t="str">
        <f>"15-1-025"</f>
        <v>15-1-025</v>
      </c>
      <c r="C309" t="s">
        <v>736</v>
      </c>
      <c r="D309" s="327">
        <v>48214</v>
      </c>
    </row>
    <row r="310" spans="2:4" customFormat="1" hidden="1" x14ac:dyDescent="0.25">
      <c r="B310" s="4" t="str">
        <f>"15-1-026"</f>
        <v>15-1-026</v>
      </c>
      <c r="C310" t="s">
        <v>737</v>
      </c>
      <c r="D310" s="327">
        <v>48214</v>
      </c>
    </row>
    <row r="311" spans="2:4" customFormat="1" hidden="1" x14ac:dyDescent="0.25">
      <c r="B311" s="4" t="str">
        <f>"15-1-027"</f>
        <v>15-1-027</v>
      </c>
      <c r="C311" t="s">
        <v>738</v>
      </c>
      <c r="D311" s="327">
        <v>47849</v>
      </c>
    </row>
    <row r="312" spans="2:4" customFormat="1" hidden="1" x14ac:dyDescent="0.25">
      <c r="B312" s="4" t="str">
        <f>"15-1-035"</f>
        <v>15-1-035</v>
      </c>
      <c r="C312" t="s">
        <v>739</v>
      </c>
      <c r="D312" s="327">
        <v>48580</v>
      </c>
    </row>
    <row r="313" spans="2:4" customFormat="1" hidden="1" x14ac:dyDescent="0.25">
      <c r="B313" s="4" t="str">
        <f>"15-1-036"</f>
        <v>15-1-036</v>
      </c>
      <c r="C313" t="s">
        <v>740</v>
      </c>
      <c r="D313" s="327">
        <v>48580</v>
      </c>
    </row>
    <row r="314" spans="2:4" customFormat="1" hidden="1" x14ac:dyDescent="0.25">
      <c r="B314" s="4" t="s">
        <v>741</v>
      </c>
      <c r="C314" t="s">
        <v>742</v>
      </c>
      <c r="D314" s="327">
        <v>48580</v>
      </c>
    </row>
    <row r="315" spans="2:4" customFormat="1" hidden="1" x14ac:dyDescent="0.25">
      <c r="B315" s="4" t="s">
        <v>743</v>
      </c>
      <c r="C315" t="s">
        <v>744</v>
      </c>
      <c r="D315" s="327">
        <v>48580</v>
      </c>
    </row>
    <row r="316" spans="2:4" customFormat="1" hidden="1" x14ac:dyDescent="0.25">
      <c r="B316" s="4" t="s">
        <v>745</v>
      </c>
      <c r="C316" t="s">
        <v>746</v>
      </c>
      <c r="D316" s="327">
        <v>48580</v>
      </c>
    </row>
    <row r="317" spans="2:4" customFormat="1" hidden="1" x14ac:dyDescent="0.25">
      <c r="B317" s="4" t="str">
        <f>"16-1-008"</f>
        <v>16-1-008</v>
      </c>
      <c r="C317" t="s">
        <v>747</v>
      </c>
      <c r="D317" s="327">
        <v>48214</v>
      </c>
    </row>
    <row r="318" spans="2:4" customFormat="1" hidden="1" x14ac:dyDescent="0.25">
      <c r="B318" s="4" t="str">
        <f>"16-1-009"</f>
        <v>16-1-009</v>
      </c>
      <c r="C318" t="s">
        <v>748</v>
      </c>
      <c r="D318" s="327">
        <v>48214</v>
      </c>
    </row>
    <row r="319" spans="2:4" customFormat="1" hidden="1" x14ac:dyDescent="0.25">
      <c r="B319" s="4" t="str">
        <f>"16-1-014"</f>
        <v>16-1-014</v>
      </c>
      <c r="C319" t="s">
        <v>749</v>
      </c>
      <c r="D319" s="327">
        <v>48580</v>
      </c>
    </row>
    <row r="320" spans="2:4" customFormat="1" hidden="1" x14ac:dyDescent="0.25">
      <c r="B320" s="4" t="str">
        <f>"16-1-016"</f>
        <v>16-1-016</v>
      </c>
      <c r="C320" t="s">
        <v>750</v>
      </c>
      <c r="D320" s="327">
        <v>48580</v>
      </c>
    </row>
    <row r="321" spans="2:4" customFormat="1" hidden="1" x14ac:dyDescent="0.25">
      <c r="B321" s="4" t="str">
        <f>"16-1-017"</f>
        <v>16-1-017</v>
      </c>
      <c r="C321" t="s">
        <v>751</v>
      </c>
      <c r="D321" s="327">
        <v>48580</v>
      </c>
    </row>
    <row r="322" spans="2:4" customFormat="1" hidden="1" x14ac:dyDescent="0.25">
      <c r="B322" s="4" t="str">
        <f>"16-1-021"</f>
        <v>16-1-021</v>
      </c>
      <c r="C322" t="s">
        <v>752</v>
      </c>
      <c r="D322" s="327">
        <v>48580</v>
      </c>
    </row>
    <row r="323" spans="2:4" customFormat="1" hidden="1" x14ac:dyDescent="0.25">
      <c r="B323" s="4" t="str">
        <f>"16-1-022"</f>
        <v>16-1-022</v>
      </c>
      <c r="C323" t="s">
        <v>753</v>
      </c>
      <c r="D323" s="327">
        <v>48214</v>
      </c>
    </row>
    <row r="324" spans="2:4" customFormat="1" hidden="1" x14ac:dyDescent="0.25">
      <c r="B324" s="4" t="str">
        <f>"16-1-025"</f>
        <v>16-1-025</v>
      </c>
      <c r="C324" t="s">
        <v>754</v>
      </c>
      <c r="D324" s="327">
        <v>48945</v>
      </c>
    </row>
    <row r="325" spans="2:4" customFormat="1" hidden="1" x14ac:dyDescent="0.25">
      <c r="B325" s="4" t="str">
        <f>"16-1-026"</f>
        <v>16-1-026</v>
      </c>
      <c r="C325" t="s">
        <v>755</v>
      </c>
      <c r="D325" s="327">
        <v>48945</v>
      </c>
    </row>
    <row r="326" spans="2:4" customFormat="1" hidden="1" x14ac:dyDescent="0.25">
      <c r="B326" s="4" t="str">
        <f>"16-1-028"</f>
        <v>16-1-028</v>
      </c>
      <c r="C326" t="s">
        <v>756</v>
      </c>
      <c r="D326" s="327">
        <v>48580</v>
      </c>
    </row>
    <row r="327" spans="2:4" customFormat="1" hidden="1" x14ac:dyDescent="0.25">
      <c r="B327" s="4" t="str">
        <f>"16-1-029"</f>
        <v>16-1-029</v>
      </c>
      <c r="C327" t="s">
        <v>757</v>
      </c>
      <c r="D327" s="327">
        <v>48580</v>
      </c>
    </row>
    <row r="328" spans="2:4" customFormat="1" hidden="1" x14ac:dyDescent="0.25">
      <c r="B328" s="4" t="str">
        <f>"16-1-030"</f>
        <v>16-1-030</v>
      </c>
      <c r="C328" t="s">
        <v>758</v>
      </c>
      <c r="D328" s="327">
        <v>48580</v>
      </c>
    </row>
    <row r="329" spans="2:4" customFormat="1" hidden="1" x14ac:dyDescent="0.25">
      <c r="B329" s="4" t="str">
        <f>"16-1-032"</f>
        <v>16-1-032</v>
      </c>
      <c r="C329" t="s">
        <v>759</v>
      </c>
      <c r="D329" s="327">
        <v>48580</v>
      </c>
    </row>
    <row r="330" spans="2:4" customFormat="1" hidden="1" x14ac:dyDescent="0.25">
      <c r="B330" s="4" t="str">
        <f>"16-1-037"</f>
        <v>16-1-037</v>
      </c>
      <c r="C330" t="s">
        <v>760</v>
      </c>
      <c r="D330" s="327">
        <v>48580</v>
      </c>
    </row>
    <row r="331" spans="2:4" customFormat="1" hidden="1" x14ac:dyDescent="0.25">
      <c r="B331" s="4" t="s">
        <v>761</v>
      </c>
      <c r="C331" t="s">
        <v>762</v>
      </c>
      <c r="D331" s="327">
        <v>48214</v>
      </c>
    </row>
    <row r="332" spans="2:4" customFormat="1" hidden="1" x14ac:dyDescent="0.25">
      <c r="B332" s="4" t="str">
        <f>"17-1-001"</f>
        <v>17-1-001</v>
      </c>
      <c r="C332" t="s">
        <v>763</v>
      </c>
      <c r="D332" s="327">
        <v>48945</v>
      </c>
    </row>
    <row r="333" spans="2:4" customFormat="1" hidden="1" x14ac:dyDescent="0.25">
      <c r="B333" s="4" t="str">
        <f>"17-1-004"</f>
        <v>17-1-004</v>
      </c>
      <c r="C333" t="s">
        <v>764</v>
      </c>
      <c r="D333" s="327">
        <v>48945</v>
      </c>
    </row>
    <row r="334" spans="2:4" customFormat="1" hidden="1" x14ac:dyDescent="0.25">
      <c r="B334" s="4" t="str">
        <f>"17-1-006"</f>
        <v>17-1-006</v>
      </c>
      <c r="C334" t="s">
        <v>765</v>
      </c>
      <c r="D334" s="327">
        <v>48945</v>
      </c>
    </row>
    <row r="335" spans="2:4" customFormat="1" hidden="1" x14ac:dyDescent="0.25">
      <c r="B335" s="4" t="str">
        <f>"17-1-007"</f>
        <v>17-1-007</v>
      </c>
      <c r="C335" t="s">
        <v>766</v>
      </c>
      <c r="D335" s="327">
        <v>48945</v>
      </c>
    </row>
    <row r="336" spans="2:4" customFormat="1" hidden="1" x14ac:dyDescent="0.25">
      <c r="B336" s="4" t="str">
        <f>"17-1-008"</f>
        <v>17-1-008</v>
      </c>
      <c r="C336" t="s">
        <v>767</v>
      </c>
      <c r="D336" s="327">
        <v>48945</v>
      </c>
    </row>
    <row r="337" spans="2:4" customFormat="1" hidden="1" x14ac:dyDescent="0.25">
      <c r="B337" s="4" t="str">
        <f>"17-1-014"</f>
        <v>17-1-014</v>
      </c>
      <c r="C337" t="s">
        <v>768</v>
      </c>
      <c r="D337" s="327">
        <v>48580</v>
      </c>
    </row>
    <row r="338" spans="2:4" customFormat="1" hidden="1" x14ac:dyDescent="0.25">
      <c r="B338" s="4" t="str">
        <f>"17-1-015"</f>
        <v>17-1-015</v>
      </c>
      <c r="C338" t="s">
        <v>769</v>
      </c>
      <c r="D338" s="327">
        <v>48580</v>
      </c>
    </row>
    <row r="339" spans="2:4" customFormat="1" hidden="1" x14ac:dyDescent="0.25">
      <c r="B339" s="4" t="str">
        <f>"17-1-017"</f>
        <v>17-1-017</v>
      </c>
      <c r="C339" t="s">
        <v>770</v>
      </c>
      <c r="D339" s="4"/>
    </row>
    <row r="340" spans="2:4" customFormat="1" hidden="1" x14ac:dyDescent="0.25">
      <c r="B340" s="4" t="str">
        <f>"17-1-018"</f>
        <v>17-1-018</v>
      </c>
      <c r="C340" t="s">
        <v>771</v>
      </c>
      <c r="D340" s="327">
        <v>48945</v>
      </c>
    </row>
    <row r="341" spans="2:4" customFormat="1" hidden="1" x14ac:dyDescent="0.25">
      <c r="B341" s="4" t="str">
        <f>"17-1-020"</f>
        <v>17-1-020</v>
      </c>
      <c r="C341" t="s">
        <v>772</v>
      </c>
      <c r="D341" s="327">
        <v>48945</v>
      </c>
    </row>
    <row r="342" spans="2:4" customFormat="1" hidden="1" x14ac:dyDescent="0.25">
      <c r="B342" s="4" t="str">
        <f>"17-1-023"</f>
        <v>17-1-023</v>
      </c>
      <c r="C342" t="s">
        <v>773</v>
      </c>
      <c r="D342" s="327">
        <v>49310</v>
      </c>
    </row>
    <row r="343" spans="2:4" customFormat="1" hidden="1" x14ac:dyDescent="0.25">
      <c r="B343" s="4" t="str">
        <f>"17-1-024"</f>
        <v>17-1-024</v>
      </c>
      <c r="C343" t="s">
        <v>774</v>
      </c>
      <c r="D343" s="327">
        <v>48945</v>
      </c>
    </row>
    <row r="344" spans="2:4" customFormat="1" hidden="1" x14ac:dyDescent="0.25">
      <c r="B344" s="4" t="str">
        <f>"17-1-028"</f>
        <v>17-1-028</v>
      </c>
      <c r="C344" t="s">
        <v>775</v>
      </c>
      <c r="D344" s="327">
        <v>49675</v>
      </c>
    </row>
    <row r="345" spans="2:4" customFormat="1" hidden="1" x14ac:dyDescent="0.25">
      <c r="B345" s="4" t="str">
        <f>"17-1-029"</f>
        <v>17-1-029</v>
      </c>
      <c r="C345" t="s">
        <v>776</v>
      </c>
      <c r="D345" s="327">
        <v>49675</v>
      </c>
    </row>
    <row r="346" spans="2:4" customFormat="1" hidden="1" x14ac:dyDescent="0.25">
      <c r="B346" s="4" t="s">
        <v>777</v>
      </c>
      <c r="C346" t="s">
        <v>778</v>
      </c>
      <c r="D346" s="327">
        <v>48580</v>
      </c>
    </row>
    <row r="347" spans="2:4" customFormat="1" hidden="1" x14ac:dyDescent="0.25">
      <c r="B347" s="4" t="s">
        <v>779</v>
      </c>
      <c r="C347" t="s">
        <v>780</v>
      </c>
      <c r="D347" s="327">
        <v>50041</v>
      </c>
    </row>
    <row r="348" spans="2:4" customFormat="1" hidden="1" x14ac:dyDescent="0.25">
      <c r="B348" s="4" t="s">
        <v>781</v>
      </c>
      <c r="C348" t="s">
        <v>782</v>
      </c>
      <c r="D348" s="327">
        <v>47849</v>
      </c>
    </row>
    <row r="349" spans="2:4" customFormat="1" hidden="1" x14ac:dyDescent="0.25">
      <c r="B349" s="4" t="s">
        <v>783</v>
      </c>
      <c r="C349" t="s">
        <v>784</v>
      </c>
      <c r="D349" s="327">
        <v>48580</v>
      </c>
    </row>
    <row r="350" spans="2:4" customFormat="1" hidden="1" x14ac:dyDescent="0.25">
      <c r="B350" s="4" t="s">
        <v>785</v>
      </c>
      <c r="C350" t="s">
        <v>786</v>
      </c>
      <c r="D350" s="327">
        <v>48580</v>
      </c>
    </row>
    <row r="351" spans="2:4" customFormat="1" hidden="1" x14ac:dyDescent="0.25">
      <c r="B351" s="4" t="s">
        <v>787</v>
      </c>
      <c r="C351" t="s">
        <v>788</v>
      </c>
      <c r="D351" s="327">
        <v>48580</v>
      </c>
    </row>
    <row r="352" spans="2:4" customFormat="1" hidden="1" x14ac:dyDescent="0.25">
      <c r="B352" s="4" t="s">
        <v>789</v>
      </c>
      <c r="C352" t="s">
        <v>790</v>
      </c>
      <c r="D352" s="327">
        <v>48580</v>
      </c>
    </row>
    <row r="353" spans="2:4" customFormat="1" hidden="1" x14ac:dyDescent="0.25">
      <c r="B353" s="4" t="s">
        <v>791</v>
      </c>
      <c r="C353" t="s">
        <v>792</v>
      </c>
      <c r="D353" s="327">
        <v>48580</v>
      </c>
    </row>
    <row r="354" spans="2:4" customFormat="1" hidden="1" x14ac:dyDescent="0.25">
      <c r="B354" s="4" t="s">
        <v>793</v>
      </c>
      <c r="C354" t="s">
        <v>794</v>
      </c>
      <c r="D354" s="327">
        <v>48580</v>
      </c>
    </row>
    <row r="355" spans="2:4" customFormat="1" hidden="1" x14ac:dyDescent="0.25">
      <c r="B355" s="4" t="s">
        <v>795</v>
      </c>
      <c r="C355" t="s">
        <v>796</v>
      </c>
      <c r="D355" s="327">
        <v>48580</v>
      </c>
    </row>
    <row r="356" spans="2:4" customFormat="1" hidden="1" x14ac:dyDescent="0.25">
      <c r="B356" s="4" t="s">
        <v>797</v>
      </c>
      <c r="C356" t="s">
        <v>798</v>
      </c>
      <c r="D356" s="327">
        <v>49310</v>
      </c>
    </row>
    <row r="357" spans="2:4" customFormat="1" hidden="1" x14ac:dyDescent="0.25">
      <c r="B357" s="4" t="s">
        <v>799</v>
      </c>
      <c r="C357" t="s">
        <v>800</v>
      </c>
      <c r="D357" s="327">
        <v>48580</v>
      </c>
    </row>
    <row r="358" spans="2:4" customFormat="1" hidden="1" x14ac:dyDescent="0.25">
      <c r="B358" s="4" t="s">
        <v>801</v>
      </c>
      <c r="C358" t="s">
        <v>802</v>
      </c>
      <c r="D358" s="327">
        <v>48945</v>
      </c>
    </row>
    <row r="359" spans="2:4" customFormat="1" hidden="1" x14ac:dyDescent="0.25">
      <c r="B359" s="4" t="s">
        <v>803</v>
      </c>
      <c r="C359" t="s">
        <v>804</v>
      </c>
      <c r="D359" s="327">
        <v>49675</v>
      </c>
    </row>
    <row r="360" spans="2:4" customFormat="1" hidden="1" x14ac:dyDescent="0.25">
      <c r="B360" s="4" t="s">
        <v>805</v>
      </c>
      <c r="C360" t="s">
        <v>806</v>
      </c>
      <c r="D360" s="327">
        <v>48945</v>
      </c>
    </row>
    <row r="361" spans="2:4" customFormat="1" hidden="1" x14ac:dyDescent="0.25">
      <c r="B361" s="4" t="s">
        <v>807</v>
      </c>
      <c r="C361" t="s">
        <v>808</v>
      </c>
      <c r="D361" s="327">
        <v>48580</v>
      </c>
    </row>
    <row r="362" spans="2:4" customFormat="1" hidden="1" x14ac:dyDescent="0.25">
      <c r="B362" s="4" t="s">
        <v>809</v>
      </c>
      <c r="C362" t="s">
        <v>810</v>
      </c>
      <c r="D362" s="327">
        <v>49310</v>
      </c>
    </row>
    <row r="363" spans="2:4" customFormat="1" hidden="1" x14ac:dyDescent="0.25">
      <c r="B363" s="4" t="str">
        <f>"18-1-001"</f>
        <v>18-1-001</v>
      </c>
      <c r="C363" t="s">
        <v>811</v>
      </c>
      <c r="D363" s="327">
        <v>49310</v>
      </c>
    </row>
    <row r="364" spans="2:4" customFormat="1" hidden="1" x14ac:dyDescent="0.25">
      <c r="B364" s="4" t="str">
        <f>"18-1-002"</f>
        <v>18-1-002</v>
      </c>
      <c r="C364" t="s">
        <v>812</v>
      </c>
      <c r="D364" s="327">
        <v>49310</v>
      </c>
    </row>
    <row r="365" spans="2:4" customFormat="1" hidden="1" x14ac:dyDescent="0.25">
      <c r="B365" s="4" t="str">
        <f>"18-1-004"</f>
        <v>18-1-004</v>
      </c>
      <c r="C365" t="s">
        <v>813</v>
      </c>
      <c r="D365" s="327">
        <v>49310</v>
      </c>
    </row>
    <row r="366" spans="2:4" customFormat="1" hidden="1" x14ac:dyDescent="0.25">
      <c r="B366" s="4" t="str">
        <f>"18-1-005"</f>
        <v>18-1-005</v>
      </c>
      <c r="C366" t="s">
        <v>814</v>
      </c>
      <c r="D366" s="327">
        <v>49310</v>
      </c>
    </row>
    <row r="367" spans="2:4" customFormat="1" hidden="1" x14ac:dyDescent="0.25">
      <c r="B367" s="4" t="str">
        <f>"18-1-006"</f>
        <v>18-1-006</v>
      </c>
      <c r="C367" t="s">
        <v>815</v>
      </c>
      <c r="D367" s="327">
        <v>49310</v>
      </c>
    </row>
    <row r="368" spans="2:4" customFormat="1" hidden="1" x14ac:dyDescent="0.25">
      <c r="B368" s="4" t="str">
        <f>"18-1-010"</f>
        <v>18-1-010</v>
      </c>
      <c r="C368" t="s">
        <v>816</v>
      </c>
      <c r="D368" s="327">
        <v>50041</v>
      </c>
    </row>
    <row r="369" spans="2:4" customFormat="1" hidden="1" x14ac:dyDescent="0.25">
      <c r="B369" s="4" t="str">
        <f>"18-1-011"</f>
        <v>18-1-011</v>
      </c>
      <c r="C369" t="s">
        <v>817</v>
      </c>
      <c r="D369" s="327">
        <v>50041</v>
      </c>
    </row>
    <row r="370" spans="2:4" customFormat="1" hidden="1" x14ac:dyDescent="0.25">
      <c r="B370" s="4" t="str">
        <f>"18-1-012"</f>
        <v>18-1-012</v>
      </c>
      <c r="C370" t="s">
        <v>818</v>
      </c>
      <c r="D370" s="4"/>
    </row>
    <row r="371" spans="2:4" customFormat="1" hidden="1" x14ac:dyDescent="0.25">
      <c r="B371" s="4" t="str">
        <f>"18-1-013"</f>
        <v>18-1-013</v>
      </c>
      <c r="C371" t="s">
        <v>819</v>
      </c>
      <c r="D371" s="327">
        <v>49675</v>
      </c>
    </row>
    <row r="372" spans="2:4" customFormat="1" hidden="1" x14ac:dyDescent="0.25">
      <c r="B372" s="4" t="str">
        <f>"18-1-014"</f>
        <v>18-1-014</v>
      </c>
      <c r="C372" t="s">
        <v>820</v>
      </c>
      <c r="D372" s="327">
        <v>49675</v>
      </c>
    </row>
    <row r="373" spans="2:4" customFormat="1" hidden="1" x14ac:dyDescent="0.25">
      <c r="B373" s="4" t="str">
        <f>"18-1-015"</f>
        <v>18-1-015</v>
      </c>
      <c r="C373" t="s">
        <v>821</v>
      </c>
      <c r="D373" s="327">
        <v>49675</v>
      </c>
    </row>
    <row r="374" spans="2:4" customFormat="1" hidden="1" x14ac:dyDescent="0.25">
      <c r="B374" s="4" t="str">
        <f>"18-1-017"</f>
        <v>18-1-017</v>
      </c>
      <c r="C374" t="s">
        <v>822</v>
      </c>
      <c r="D374" s="327">
        <v>49310</v>
      </c>
    </row>
    <row r="375" spans="2:4" customFormat="1" hidden="1" x14ac:dyDescent="0.25">
      <c r="B375" s="4" t="str">
        <f>"18-1-018"</f>
        <v>18-1-018</v>
      </c>
      <c r="C375" t="s">
        <v>823</v>
      </c>
      <c r="D375" s="327">
        <v>49310</v>
      </c>
    </row>
    <row r="376" spans="2:4" customFormat="1" hidden="1" x14ac:dyDescent="0.25">
      <c r="B376" s="4" t="str">
        <f>"18-1-021"</f>
        <v>18-1-021</v>
      </c>
      <c r="C376" t="s">
        <v>824</v>
      </c>
      <c r="D376" s="327">
        <v>49310</v>
      </c>
    </row>
    <row r="377" spans="2:4" customFormat="1" hidden="1" x14ac:dyDescent="0.25">
      <c r="B377" s="4" t="s">
        <v>825</v>
      </c>
      <c r="C377" t="s">
        <v>826</v>
      </c>
      <c r="D377" s="327">
        <v>49310</v>
      </c>
    </row>
    <row r="378" spans="2:4" customFormat="1" hidden="1" x14ac:dyDescent="0.25">
      <c r="B378" s="4" t="str">
        <f>"19-1-001"</f>
        <v>19-1-001</v>
      </c>
      <c r="C378" t="s">
        <v>827</v>
      </c>
      <c r="D378" s="327">
        <v>49675</v>
      </c>
    </row>
    <row r="379" spans="2:4" customFormat="1" hidden="1" x14ac:dyDescent="0.25">
      <c r="B379" s="4" t="str">
        <f>"19-1-002"</f>
        <v>19-1-002</v>
      </c>
      <c r="C379" t="s">
        <v>828</v>
      </c>
      <c r="D379" s="327">
        <v>49675</v>
      </c>
    </row>
    <row r="380" spans="2:4" customFormat="1" hidden="1" x14ac:dyDescent="0.25">
      <c r="B380" s="4" t="str">
        <f>"19-1-003"</f>
        <v>19-1-003</v>
      </c>
      <c r="C380" t="s">
        <v>829</v>
      </c>
      <c r="D380" s="327">
        <v>50041</v>
      </c>
    </row>
    <row r="381" spans="2:4" customFormat="1" hidden="1" x14ac:dyDescent="0.25">
      <c r="B381" s="4" t="str">
        <f>"19-1-004"</f>
        <v>19-1-004</v>
      </c>
      <c r="C381" t="s">
        <v>830</v>
      </c>
      <c r="D381" s="327">
        <v>49675</v>
      </c>
    </row>
    <row r="382" spans="2:4" customFormat="1" hidden="1" x14ac:dyDescent="0.25">
      <c r="B382" s="4" t="str">
        <f>"19-1-005"</f>
        <v>19-1-005</v>
      </c>
      <c r="C382" t="s">
        <v>831</v>
      </c>
      <c r="D382" s="327">
        <v>49675</v>
      </c>
    </row>
    <row r="383" spans="2:4" customFormat="1" hidden="1" x14ac:dyDescent="0.25">
      <c r="B383" s="4" t="str">
        <f>"19-1-006"</f>
        <v>19-1-006</v>
      </c>
      <c r="C383" t="s">
        <v>832</v>
      </c>
      <c r="D383" s="327">
        <v>49675</v>
      </c>
    </row>
    <row r="384" spans="2:4" customFormat="1" hidden="1" x14ac:dyDescent="0.25">
      <c r="B384" s="4" t="str">
        <f>"19-1-007"</f>
        <v>19-1-007</v>
      </c>
      <c r="C384" t="s">
        <v>833</v>
      </c>
      <c r="D384" s="327">
        <v>49675</v>
      </c>
    </row>
    <row r="385" spans="2:4" customFormat="1" hidden="1" x14ac:dyDescent="0.25">
      <c r="B385" s="4" t="str">
        <f>"19-1-011"</f>
        <v>19-1-011</v>
      </c>
      <c r="C385" t="s">
        <v>834</v>
      </c>
      <c r="D385" s="327">
        <v>49675</v>
      </c>
    </row>
    <row r="386" spans="2:4" customFormat="1" hidden="1" x14ac:dyDescent="0.25">
      <c r="B386" s="4" t="str">
        <f>"19-1-015"</f>
        <v>19-1-015</v>
      </c>
      <c r="C386" t="s">
        <v>835</v>
      </c>
      <c r="D386" s="327">
        <v>50041</v>
      </c>
    </row>
    <row r="387" spans="2:4" customFormat="1" hidden="1" x14ac:dyDescent="0.25">
      <c r="B387" s="4" t="str">
        <f>"19-1-017"</f>
        <v>19-1-017</v>
      </c>
      <c r="C387" t="s">
        <v>836</v>
      </c>
      <c r="D387" s="327">
        <v>49675</v>
      </c>
    </row>
    <row r="388" spans="2:4" customFormat="1" hidden="1" x14ac:dyDescent="0.25">
      <c r="B388" s="4" t="str">
        <f>"19-1-021"</f>
        <v>19-1-021</v>
      </c>
      <c r="C388" t="s">
        <v>837</v>
      </c>
      <c r="D388" s="327">
        <v>49675</v>
      </c>
    </row>
    <row r="389" spans="2:4" customFormat="1" hidden="1" x14ac:dyDescent="0.25">
      <c r="B389" s="4" t="str">
        <f>"19-1-022"</f>
        <v>19-1-022</v>
      </c>
      <c r="C389" t="s">
        <v>838</v>
      </c>
      <c r="D389" s="327">
        <v>49675</v>
      </c>
    </row>
    <row r="390" spans="2:4" customFormat="1" hidden="1" x14ac:dyDescent="0.25">
      <c r="B390" s="4" t="str">
        <f>"19-1-024"</f>
        <v>19-1-024</v>
      </c>
      <c r="C390" t="s">
        <v>839</v>
      </c>
      <c r="D390" s="327">
        <v>49310</v>
      </c>
    </row>
    <row r="391" spans="2:4" customFormat="1" hidden="1" x14ac:dyDescent="0.25">
      <c r="B391" s="4" t="str">
        <f>"19-1-025"</f>
        <v>19-1-025</v>
      </c>
      <c r="C391" t="s">
        <v>840</v>
      </c>
      <c r="D391" s="327">
        <v>49310</v>
      </c>
    </row>
    <row r="392" spans="2:4" customFormat="1" hidden="1" x14ac:dyDescent="0.25">
      <c r="B392" s="4" t="str">
        <f>"19-1-026"</f>
        <v>19-1-026</v>
      </c>
      <c r="C392" t="s">
        <v>841</v>
      </c>
      <c r="D392" s="327">
        <v>49310</v>
      </c>
    </row>
    <row r="393" spans="2:4" customFormat="1" hidden="1" x14ac:dyDescent="0.25">
      <c r="B393" s="4" t="str">
        <f>"19-1-028"</f>
        <v>19-1-028</v>
      </c>
      <c r="C393" t="s">
        <v>842</v>
      </c>
      <c r="D393" s="327">
        <v>49675</v>
      </c>
    </row>
    <row r="394" spans="2:4" customFormat="1" hidden="1" x14ac:dyDescent="0.25">
      <c r="B394" s="4" t="str">
        <f>"19-2-001"</f>
        <v>19-2-001</v>
      </c>
      <c r="C394" t="s">
        <v>843</v>
      </c>
      <c r="D394" s="327">
        <v>49675</v>
      </c>
    </row>
    <row r="395" spans="2:4" customFormat="1" hidden="1" x14ac:dyDescent="0.25">
      <c r="B395" s="4" t="str">
        <f>"19-2-008"</f>
        <v>19-2-008</v>
      </c>
      <c r="C395" t="s">
        <v>844</v>
      </c>
      <c r="D395" s="327">
        <v>49675</v>
      </c>
    </row>
    <row r="396" spans="2:4" customFormat="1" hidden="1" x14ac:dyDescent="0.25">
      <c r="B396" s="4" t="str">
        <f>"19-2-010"</f>
        <v>19-2-010</v>
      </c>
      <c r="C396" t="s">
        <v>845</v>
      </c>
      <c r="D396" s="327">
        <v>49675</v>
      </c>
    </row>
    <row r="397" spans="2:4" customFormat="1" hidden="1" x14ac:dyDescent="0.25">
      <c r="B397" s="4" t="s">
        <v>846</v>
      </c>
      <c r="C397" t="s">
        <v>847</v>
      </c>
      <c r="D397" s="327">
        <v>49675</v>
      </c>
    </row>
    <row r="398" spans="2:4" customFormat="1" hidden="1" x14ac:dyDescent="0.25">
      <c r="B398" s="4" t="s">
        <v>848</v>
      </c>
      <c r="C398" t="s">
        <v>849</v>
      </c>
      <c r="D398" s="327">
        <v>49675</v>
      </c>
    </row>
    <row r="399" spans="2:4" customFormat="1" hidden="1" x14ac:dyDescent="0.25">
      <c r="B399" s="4" t="s">
        <v>850</v>
      </c>
      <c r="C399" t="s">
        <v>851</v>
      </c>
      <c r="D399" s="327">
        <v>49675</v>
      </c>
    </row>
    <row r="400" spans="2:4" customFormat="1" hidden="1" x14ac:dyDescent="0.25">
      <c r="B400" s="4" t="s">
        <v>852</v>
      </c>
      <c r="C400" t="s">
        <v>853</v>
      </c>
      <c r="D400" s="327">
        <v>49675</v>
      </c>
    </row>
    <row r="401" spans="2:4" customFormat="1" hidden="1" x14ac:dyDescent="0.25">
      <c r="B401" s="4" t="s">
        <v>854</v>
      </c>
      <c r="C401" t="s">
        <v>855</v>
      </c>
      <c r="D401" s="327">
        <v>49675</v>
      </c>
    </row>
    <row r="402" spans="2:4" customFormat="1" hidden="1" x14ac:dyDescent="0.25">
      <c r="B402" s="4" t="s">
        <v>856</v>
      </c>
      <c r="C402" t="s">
        <v>857</v>
      </c>
      <c r="D402" s="327">
        <v>49675</v>
      </c>
    </row>
    <row r="403" spans="2:4" customFormat="1" hidden="1" x14ac:dyDescent="0.25">
      <c r="B403" s="4" t="s">
        <v>858</v>
      </c>
      <c r="C403" t="s">
        <v>859</v>
      </c>
      <c r="D403" s="327">
        <v>49675</v>
      </c>
    </row>
    <row r="404" spans="2:4" customFormat="1" hidden="1" x14ac:dyDescent="0.25">
      <c r="B404" s="4" t="s">
        <v>860</v>
      </c>
      <c r="C404" t="s">
        <v>861</v>
      </c>
      <c r="D404" s="327">
        <v>49675</v>
      </c>
    </row>
    <row r="405" spans="2:4" customFormat="1" hidden="1" x14ac:dyDescent="0.25">
      <c r="B405" s="4" t="s">
        <v>862</v>
      </c>
      <c r="C405" t="s">
        <v>863</v>
      </c>
      <c r="D405" s="327">
        <v>49675</v>
      </c>
    </row>
    <row r="406" spans="2:4" customFormat="1" hidden="1" x14ac:dyDescent="0.25">
      <c r="B406" s="4" t="s">
        <v>864</v>
      </c>
      <c r="C406" t="s">
        <v>865</v>
      </c>
      <c r="D406" s="327">
        <v>49675</v>
      </c>
    </row>
    <row r="407" spans="2:4" customFormat="1" hidden="1" x14ac:dyDescent="0.25">
      <c r="B407" s="4" t="s">
        <v>866</v>
      </c>
      <c r="C407" t="s">
        <v>423</v>
      </c>
      <c r="D407" s="327">
        <v>49675</v>
      </c>
    </row>
    <row r="408" spans="2:4" customFormat="1" hidden="1" x14ac:dyDescent="0.25">
      <c r="B408" s="4" t="s">
        <v>867</v>
      </c>
      <c r="C408" t="s">
        <v>868</v>
      </c>
      <c r="D408" s="327">
        <v>49675</v>
      </c>
    </row>
    <row r="409" spans="2:4" customFormat="1" hidden="1" x14ac:dyDescent="0.25">
      <c r="B409" s="4" t="s">
        <v>869</v>
      </c>
      <c r="C409" t="s">
        <v>870</v>
      </c>
      <c r="D409" s="327">
        <v>49675</v>
      </c>
    </row>
    <row r="410" spans="2:4" customFormat="1" hidden="1" x14ac:dyDescent="0.25">
      <c r="B410" s="4" t="s">
        <v>871</v>
      </c>
      <c r="C410" t="s">
        <v>872</v>
      </c>
      <c r="D410" s="327">
        <v>49675</v>
      </c>
    </row>
    <row r="411" spans="2:4" customFormat="1" hidden="1" x14ac:dyDescent="0.25">
      <c r="B411" s="4" t="s">
        <v>873</v>
      </c>
      <c r="C411" t="s">
        <v>874</v>
      </c>
      <c r="D411" s="327">
        <v>49675</v>
      </c>
    </row>
    <row r="412" spans="2:4" customFormat="1" hidden="1" x14ac:dyDescent="0.25">
      <c r="B412" s="4" t="s">
        <v>875</v>
      </c>
      <c r="C412" t="s">
        <v>876</v>
      </c>
      <c r="D412" s="327">
        <v>49675</v>
      </c>
    </row>
    <row r="413" spans="2:4" customFormat="1" hidden="1" x14ac:dyDescent="0.25">
      <c r="B413" s="4" t="s">
        <v>877</v>
      </c>
      <c r="C413" t="s">
        <v>878</v>
      </c>
      <c r="D413" s="4"/>
    </row>
    <row r="414" spans="2:4" customFormat="1" hidden="1" x14ac:dyDescent="0.25">
      <c r="B414" s="4" t="s">
        <v>879</v>
      </c>
      <c r="C414" t="s">
        <v>880</v>
      </c>
      <c r="D414" s="4"/>
    </row>
    <row r="415" spans="2:4" customFormat="1" hidden="1" x14ac:dyDescent="0.25">
      <c r="B415" s="4" t="s">
        <v>881</v>
      </c>
      <c r="C415" t="s">
        <v>882</v>
      </c>
      <c r="D415" s="4"/>
    </row>
    <row r="416" spans="2:4" customFormat="1" hidden="1" x14ac:dyDescent="0.25">
      <c r="B416" s="4" t="s">
        <v>883</v>
      </c>
      <c r="C416" t="s">
        <v>884</v>
      </c>
      <c r="D416" s="4"/>
    </row>
    <row r="417" spans="2:4" customFormat="1" hidden="1" x14ac:dyDescent="0.25">
      <c r="B417" s="4" t="s">
        <v>885</v>
      </c>
      <c r="C417" t="s">
        <v>886</v>
      </c>
      <c r="D417" s="327">
        <v>50406</v>
      </c>
    </row>
    <row r="418" spans="2:4" customFormat="1" hidden="1" x14ac:dyDescent="0.25">
      <c r="B418" s="4" t="s">
        <v>887</v>
      </c>
      <c r="C418" t="s">
        <v>888</v>
      </c>
      <c r="D418" s="327">
        <v>49310</v>
      </c>
    </row>
    <row r="419" spans="2:4" customFormat="1" hidden="1" x14ac:dyDescent="0.25">
      <c r="B419" s="4" t="str">
        <f>"20-1-003"</f>
        <v>20-1-003</v>
      </c>
      <c r="C419" t="s">
        <v>465</v>
      </c>
      <c r="D419" s="327">
        <v>50041</v>
      </c>
    </row>
    <row r="420" spans="2:4" customFormat="1" hidden="1" x14ac:dyDescent="0.25">
      <c r="B420" s="4" t="str">
        <f>"20-1-006"</f>
        <v>20-1-006</v>
      </c>
      <c r="C420" t="s">
        <v>889</v>
      </c>
      <c r="D420" s="4"/>
    </row>
    <row r="421" spans="2:4" customFormat="1" hidden="1" x14ac:dyDescent="0.25">
      <c r="B421" s="4" t="str">
        <f>"20-1-007"</f>
        <v>20-1-007</v>
      </c>
      <c r="C421" t="s">
        <v>890</v>
      </c>
      <c r="D421" s="4"/>
    </row>
    <row r="422" spans="2:4" customFormat="1" hidden="1" x14ac:dyDescent="0.25">
      <c r="B422" s="4" t="str">
        <f>"20-1-008"</f>
        <v>20-1-008</v>
      </c>
      <c r="C422" t="s">
        <v>891</v>
      </c>
      <c r="D422" s="4"/>
    </row>
    <row r="423" spans="2:4" customFormat="1" hidden="1" x14ac:dyDescent="0.25">
      <c r="B423" s="4" t="str">
        <f>"20-1-009"</f>
        <v>20-1-009</v>
      </c>
      <c r="C423" t="s">
        <v>892</v>
      </c>
      <c r="D423" s="4"/>
    </row>
    <row r="424" spans="2:4" customFormat="1" hidden="1" x14ac:dyDescent="0.25">
      <c r="B424" s="4" t="str">
        <f>"20-1-011"</f>
        <v>20-1-011</v>
      </c>
      <c r="C424" t="s">
        <v>893</v>
      </c>
      <c r="D424" s="327">
        <v>49675</v>
      </c>
    </row>
    <row r="425" spans="2:4" customFormat="1" hidden="1" x14ac:dyDescent="0.25">
      <c r="B425" s="4" t="str">
        <f>"20-1-012"</f>
        <v>20-1-012</v>
      </c>
      <c r="C425" t="s">
        <v>894</v>
      </c>
      <c r="D425" s="327">
        <v>50041</v>
      </c>
    </row>
    <row r="426" spans="2:4" customFormat="1" hidden="1" x14ac:dyDescent="0.25">
      <c r="B426" s="4" t="str">
        <f>"20-1-013"</f>
        <v>20-1-013</v>
      </c>
      <c r="C426" t="s">
        <v>895</v>
      </c>
      <c r="D426" s="327">
        <v>50041</v>
      </c>
    </row>
    <row r="427" spans="2:4" customFormat="1" hidden="1" x14ac:dyDescent="0.25">
      <c r="B427" s="4" t="str">
        <f>"20-1-016"</f>
        <v>20-1-016</v>
      </c>
      <c r="C427" t="s">
        <v>896</v>
      </c>
      <c r="D427" s="4"/>
    </row>
    <row r="428" spans="2:4" customFormat="1" hidden="1" x14ac:dyDescent="0.25">
      <c r="B428" s="4" t="str">
        <f>"20-1-018"</f>
        <v>20-1-018</v>
      </c>
      <c r="C428" t="s">
        <v>897</v>
      </c>
      <c r="D428" s="327">
        <v>50041</v>
      </c>
    </row>
    <row r="429" spans="2:4" customFormat="1" hidden="1" x14ac:dyDescent="0.25">
      <c r="B429" s="4" t="str">
        <f>"20-1-019"</f>
        <v>20-1-019</v>
      </c>
      <c r="C429" t="s">
        <v>898</v>
      </c>
      <c r="D429" s="327">
        <v>50041</v>
      </c>
    </row>
    <row r="430" spans="2:4" customFormat="1" hidden="1" x14ac:dyDescent="0.25">
      <c r="B430" s="4" t="str">
        <f>"20-1-020"</f>
        <v>20-1-020</v>
      </c>
      <c r="C430" t="s">
        <v>899</v>
      </c>
      <c r="D430" s="4"/>
    </row>
    <row r="431" spans="2:4" customFormat="1" hidden="1" x14ac:dyDescent="0.25">
      <c r="B431" s="4" t="str">
        <f>"20-1-022"</f>
        <v>20-1-022</v>
      </c>
      <c r="C431" t="s">
        <v>900</v>
      </c>
      <c r="D431" s="4"/>
    </row>
    <row r="432" spans="2:4" customFormat="1" hidden="1" x14ac:dyDescent="0.25">
      <c r="B432" s="4" t="str">
        <f>"20-1-023"</f>
        <v>20-1-023</v>
      </c>
      <c r="C432" t="s">
        <v>901</v>
      </c>
      <c r="D432" s="4"/>
    </row>
    <row r="433" spans="2:4" customFormat="1" hidden="1" x14ac:dyDescent="0.25">
      <c r="B433" s="4" t="str">
        <f>"20-1-024"</f>
        <v>20-1-024</v>
      </c>
      <c r="C433" t="s">
        <v>902</v>
      </c>
      <c r="D433" s="4"/>
    </row>
    <row r="434" spans="2:4" customFormat="1" hidden="1" x14ac:dyDescent="0.25">
      <c r="B434" s="4" t="s">
        <v>903</v>
      </c>
      <c r="C434" t="s">
        <v>904</v>
      </c>
      <c r="D434" s="327">
        <v>50406</v>
      </c>
    </row>
    <row r="435" spans="2:4" customFormat="1" hidden="1" x14ac:dyDescent="0.25">
      <c r="B435" s="4" t="s">
        <v>905</v>
      </c>
      <c r="C435" t="s">
        <v>906</v>
      </c>
      <c r="D435" s="327">
        <v>49675</v>
      </c>
    </row>
    <row r="436" spans="2:4" customFormat="1" hidden="1" x14ac:dyDescent="0.25">
      <c r="B436" s="4" t="s">
        <v>907</v>
      </c>
      <c r="C436" t="s">
        <v>908</v>
      </c>
      <c r="D436" s="327">
        <v>50406</v>
      </c>
    </row>
    <row r="437" spans="2:4" customFormat="1" hidden="1" x14ac:dyDescent="0.25">
      <c r="B437" s="4" t="s">
        <v>909</v>
      </c>
      <c r="C437" t="s">
        <v>910</v>
      </c>
      <c r="D437" s="327">
        <v>50041</v>
      </c>
    </row>
    <row r="438" spans="2:4" customFormat="1" hidden="1" x14ac:dyDescent="0.25">
      <c r="B438" s="4" t="str">
        <f>"21-1-001"</f>
        <v>21-1-001</v>
      </c>
      <c r="C438" t="s">
        <v>911</v>
      </c>
      <c r="D438" s="4"/>
    </row>
    <row r="439" spans="2:4" customFormat="1" hidden="1" x14ac:dyDescent="0.25">
      <c r="B439" s="4" t="str">
        <f>"21-1-003"</f>
        <v>21-1-003</v>
      </c>
      <c r="C439" t="s">
        <v>912</v>
      </c>
      <c r="D439" s="327">
        <v>50406</v>
      </c>
    </row>
    <row r="440" spans="2:4" customFormat="1" hidden="1" x14ac:dyDescent="0.25">
      <c r="B440" s="4" t="str">
        <f>"21-1-004"</f>
        <v>21-1-004</v>
      </c>
      <c r="C440" t="s">
        <v>913</v>
      </c>
      <c r="D440" s="4"/>
    </row>
    <row r="441" spans="2:4" customFormat="1" hidden="1" x14ac:dyDescent="0.25">
      <c r="B441" s="4" t="str">
        <f>"21-1-005"</f>
        <v>21-1-005</v>
      </c>
      <c r="C441" t="s">
        <v>914</v>
      </c>
      <c r="D441" s="4"/>
    </row>
    <row r="442" spans="2:4" customFormat="1" hidden="1" x14ac:dyDescent="0.25">
      <c r="B442" s="4" t="str">
        <f>"21-1-011"</f>
        <v>21-1-011</v>
      </c>
      <c r="C442" t="s">
        <v>915</v>
      </c>
      <c r="D442" s="4"/>
    </row>
    <row r="443" spans="2:4" customFormat="1" hidden="1" x14ac:dyDescent="0.25">
      <c r="B443" s="4" t="str">
        <f>"21-1-012"</f>
        <v>21-1-012</v>
      </c>
      <c r="C443" t="s">
        <v>916</v>
      </c>
      <c r="D443" s="4"/>
    </row>
    <row r="444" spans="2:4" customFormat="1" hidden="1" x14ac:dyDescent="0.25">
      <c r="B444" s="4" t="str">
        <f>"21-1-015"</f>
        <v>21-1-015</v>
      </c>
      <c r="C444" t="s">
        <v>917</v>
      </c>
      <c r="D444" s="327">
        <v>50041</v>
      </c>
    </row>
    <row r="445" spans="2:4" customFormat="1" hidden="1" x14ac:dyDescent="0.25">
      <c r="B445" s="4" t="str">
        <f>"21-1-016"</f>
        <v>21-1-016</v>
      </c>
      <c r="C445" t="s">
        <v>918</v>
      </c>
      <c r="D445" s="327">
        <v>50041</v>
      </c>
    </row>
    <row r="446" spans="2:4" customFormat="1" hidden="1" x14ac:dyDescent="0.25">
      <c r="B446" s="4" t="str">
        <f>"21-1-019"</f>
        <v>21-1-019</v>
      </c>
      <c r="C446" t="s">
        <v>919</v>
      </c>
      <c r="D446" s="327">
        <v>50406</v>
      </c>
    </row>
    <row r="447" spans="2:4" customFormat="1" hidden="1" x14ac:dyDescent="0.25">
      <c r="B447" s="4" t="str">
        <f>"21-1-020"</f>
        <v>21-1-020</v>
      </c>
      <c r="C447" t="s">
        <v>920</v>
      </c>
      <c r="D447" s="327">
        <v>50406</v>
      </c>
    </row>
    <row r="448" spans="2:4" customFormat="1" hidden="1" x14ac:dyDescent="0.25">
      <c r="B448" s="4" t="str">
        <f>"21-1-022"</f>
        <v>21-1-022</v>
      </c>
      <c r="C448" t="s">
        <v>921</v>
      </c>
      <c r="D448" s="327">
        <v>50406</v>
      </c>
    </row>
    <row r="449" spans="2:4" customFormat="1" hidden="1" x14ac:dyDescent="0.25">
      <c r="B449" s="4" t="s">
        <v>922</v>
      </c>
      <c r="C449" t="s">
        <v>923</v>
      </c>
      <c r="D449" s="4"/>
    </row>
    <row r="450" spans="2:4" customFormat="1" hidden="1" x14ac:dyDescent="0.25">
      <c r="B450" s="4" t="str">
        <f>"22-1-017"</f>
        <v>22-1-017</v>
      </c>
      <c r="C450" t="s">
        <v>924</v>
      </c>
      <c r="D450" s="4"/>
    </row>
    <row r="451" spans="2:4" customFormat="1" hidden="1" x14ac:dyDescent="0.25">
      <c r="B451" s="4" t="str">
        <f>"90-005"</f>
        <v>90-005</v>
      </c>
      <c r="C451" t="s">
        <v>925</v>
      </c>
      <c r="D451" s="327">
        <v>38718</v>
      </c>
    </row>
    <row r="452" spans="2:4" customFormat="1" hidden="1" x14ac:dyDescent="0.25">
      <c r="B452" s="4" t="str">
        <f>"90-007"</f>
        <v>90-007</v>
      </c>
      <c r="C452" t="s">
        <v>926</v>
      </c>
      <c r="D452" s="327">
        <v>38353</v>
      </c>
    </row>
    <row r="453" spans="2:4" customFormat="1" hidden="1" x14ac:dyDescent="0.25">
      <c r="B453" s="4" t="str">
        <f>"90-008"</f>
        <v>90-008</v>
      </c>
      <c r="C453" t="s">
        <v>927</v>
      </c>
      <c r="D453" s="327">
        <v>38718</v>
      </c>
    </row>
    <row r="454" spans="2:4" customFormat="1" hidden="1" x14ac:dyDescent="0.25">
      <c r="B454" s="4" t="str">
        <f>"90-009"</f>
        <v>90-009</v>
      </c>
      <c r="C454" t="s">
        <v>928</v>
      </c>
      <c r="D454" s="327">
        <v>38353</v>
      </c>
    </row>
    <row r="455" spans="2:4" customFormat="1" hidden="1" x14ac:dyDescent="0.25">
      <c r="B455" s="4" t="str">
        <f>"90-011"</f>
        <v>90-011</v>
      </c>
      <c r="C455" t="s">
        <v>929</v>
      </c>
      <c r="D455" s="327">
        <v>38718</v>
      </c>
    </row>
    <row r="456" spans="2:4" customFormat="1" hidden="1" x14ac:dyDescent="0.25">
      <c r="B456" s="4" t="str">
        <f>"90-015"</f>
        <v>90-015</v>
      </c>
      <c r="C456" t="s">
        <v>930</v>
      </c>
      <c r="D456" s="327">
        <v>38718</v>
      </c>
    </row>
    <row r="457" spans="2:4" customFormat="1" hidden="1" x14ac:dyDescent="0.25">
      <c r="B457" s="4" t="str">
        <f>"90-016"</f>
        <v>90-016</v>
      </c>
      <c r="C457" t="s">
        <v>931</v>
      </c>
      <c r="D457" s="327">
        <v>38718</v>
      </c>
    </row>
    <row r="458" spans="2:4" customFormat="1" hidden="1" x14ac:dyDescent="0.25">
      <c r="B458" s="4" t="str">
        <f>"90-019"</f>
        <v>90-019</v>
      </c>
      <c r="C458" t="s">
        <v>660</v>
      </c>
      <c r="D458" s="327">
        <v>38718</v>
      </c>
    </row>
    <row r="459" spans="2:4" customFormat="1" hidden="1" x14ac:dyDescent="0.25">
      <c r="B459" s="4" t="str">
        <f>"90-020"</f>
        <v>90-020</v>
      </c>
      <c r="C459" t="s">
        <v>932</v>
      </c>
      <c r="D459" s="327">
        <v>38718</v>
      </c>
    </row>
    <row r="460" spans="2:4" customFormat="1" hidden="1" x14ac:dyDescent="0.25">
      <c r="B460" s="4" t="str">
        <f>"90-022"</f>
        <v>90-022</v>
      </c>
      <c r="C460" t="s">
        <v>933</v>
      </c>
      <c r="D460" s="327">
        <v>38718</v>
      </c>
    </row>
    <row r="461" spans="2:4" customFormat="1" hidden="1" x14ac:dyDescent="0.25">
      <c r="B461" s="4" t="str">
        <f>"90-023"</f>
        <v>90-023</v>
      </c>
      <c r="C461" t="s">
        <v>934</v>
      </c>
      <c r="D461" s="327">
        <v>38718</v>
      </c>
    </row>
    <row r="462" spans="2:4" customFormat="1" hidden="1" x14ac:dyDescent="0.25">
      <c r="B462" s="4" t="str">
        <f>"90-024"</f>
        <v>90-024</v>
      </c>
      <c r="C462" t="s">
        <v>935</v>
      </c>
      <c r="D462" s="327">
        <v>38718</v>
      </c>
    </row>
    <row r="463" spans="2:4" customFormat="1" hidden="1" x14ac:dyDescent="0.25">
      <c r="B463" s="4" t="str">
        <f>"90-025"</f>
        <v>90-025</v>
      </c>
      <c r="C463" t="s">
        <v>936</v>
      </c>
      <c r="D463" s="327">
        <v>38718</v>
      </c>
    </row>
    <row r="464" spans="2:4" customFormat="1" hidden="1" x14ac:dyDescent="0.25">
      <c r="B464" s="4" t="str">
        <f>"90-026"</f>
        <v>90-026</v>
      </c>
      <c r="C464" t="s">
        <v>937</v>
      </c>
      <c r="D464" s="327">
        <v>38718</v>
      </c>
    </row>
    <row r="465" spans="2:4" customFormat="1" hidden="1" x14ac:dyDescent="0.25">
      <c r="B465" s="4" t="str">
        <f>"90-027"</f>
        <v>90-027</v>
      </c>
      <c r="C465" t="s">
        <v>571</v>
      </c>
      <c r="D465" s="327">
        <v>38718</v>
      </c>
    </row>
    <row r="466" spans="2:4" customFormat="1" hidden="1" x14ac:dyDescent="0.25">
      <c r="B466" s="4" t="str">
        <f>"90-028"</f>
        <v>90-028</v>
      </c>
      <c r="C466" t="s">
        <v>938</v>
      </c>
      <c r="D466" s="327">
        <v>38718</v>
      </c>
    </row>
    <row r="467" spans="2:4" customFormat="1" hidden="1" x14ac:dyDescent="0.25">
      <c r="B467" s="4" t="str">
        <f>"90-029"</f>
        <v>90-029</v>
      </c>
      <c r="C467" t="s">
        <v>939</v>
      </c>
      <c r="D467" s="327">
        <v>39083</v>
      </c>
    </row>
    <row r="468" spans="2:4" customFormat="1" hidden="1" x14ac:dyDescent="0.25">
      <c r="B468" s="4" t="str">
        <f>"90-033"</f>
        <v>90-033</v>
      </c>
      <c r="C468" t="s">
        <v>940</v>
      </c>
      <c r="D468" s="327">
        <v>39083</v>
      </c>
    </row>
    <row r="469" spans="2:4" customFormat="1" hidden="1" x14ac:dyDescent="0.25">
      <c r="B469" s="4" t="str">
        <f>"90-037"</f>
        <v>90-037</v>
      </c>
      <c r="C469" t="s">
        <v>941</v>
      </c>
      <c r="D469" s="327">
        <v>38718</v>
      </c>
    </row>
    <row r="470" spans="2:4" customFormat="1" hidden="1" x14ac:dyDescent="0.25">
      <c r="B470" s="4" t="str">
        <f>"90-044-02"</f>
        <v>90-044-02</v>
      </c>
      <c r="C470" t="s">
        <v>942</v>
      </c>
      <c r="D470" s="327">
        <v>38718</v>
      </c>
    </row>
    <row r="471" spans="2:4" customFormat="1" hidden="1" x14ac:dyDescent="0.25">
      <c r="B471" s="4" t="str">
        <f>"90-044-03"</f>
        <v>90-044-03</v>
      </c>
      <c r="C471" t="s">
        <v>942</v>
      </c>
      <c r="D471" s="327">
        <v>38718</v>
      </c>
    </row>
    <row r="472" spans="2:4" customFormat="1" hidden="1" x14ac:dyDescent="0.25">
      <c r="B472" s="4" t="str">
        <f>"90-044-05"</f>
        <v>90-044-05</v>
      </c>
      <c r="C472" t="s">
        <v>942</v>
      </c>
      <c r="D472" s="327">
        <v>39083</v>
      </c>
    </row>
    <row r="473" spans="2:4" customFormat="1" hidden="1" x14ac:dyDescent="0.25">
      <c r="B473" s="4" t="str">
        <f>"90-044-07"</f>
        <v>90-044-07</v>
      </c>
      <c r="C473" t="s">
        <v>942</v>
      </c>
      <c r="D473" s="327">
        <v>39083</v>
      </c>
    </row>
    <row r="474" spans="2:4" customFormat="1" hidden="1" x14ac:dyDescent="0.25">
      <c r="B474" s="4" t="str">
        <f>"90-061"</f>
        <v>90-061</v>
      </c>
      <c r="C474" t="s">
        <v>943</v>
      </c>
      <c r="D474" s="327">
        <v>38718</v>
      </c>
    </row>
    <row r="475" spans="2:4" customFormat="1" hidden="1" x14ac:dyDescent="0.25">
      <c r="B475" s="4" t="str">
        <f>"90-071"</f>
        <v>90-071</v>
      </c>
      <c r="C475" t="s">
        <v>944</v>
      </c>
      <c r="D475" s="327">
        <v>39083</v>
      </c>
    </row>
    <row r="476" spans="2:4" customFormat="1" hidden="1" x14ac:dyDescent="0.25">
      <c r="B476" s="4" t="str">
        <f>"90-073"</f>
        <v>90-073</v>
      </c>
      <c r="C476" t="s">
        <v>945</v>
      </c>
      <c r="D476" s="327">
        <v>38718</v>
      </c>
    </row>
    <row r="477" spans="2:4" customFormat="1" hidden="1" x14ac:dyDescent="0.25">
      <c r="B477" s="4" t="str">
        <f>"90-076"</f>
        <v>90-076</v>
      </c>
      <c r="C477" t="s">
        <v>946</v>
      </c>
      <c r="D477" s="327">
        <v>39083</v>
      </c>
    </row>
    <row r="478" spans="2:4" customFormat="1" hidden="1" x14ac:dyDescent="0.25">
      <c r="B478" s="4" t="str">
        <f>"90-079"</f>
        <v>90-079</v>
      </c>
      <c r="C478" t="s">
        <v>947</v>
      </c>
      <c r="D478" s="327">
        <v>38718</v>
      </c>
    </row>
    <row r="479" spans="2:4" customFormat="1" hidden="1" x14ac:dyDescent="0.25">
      <c r="B479" s="4" t="str">
        <f>"90-092"</f>
        <v>90-092</v>
      </c>
      <c r="C479" t="s">
        <v>948</v>
      </c>
      <c r="D479" s="327">
        <v>38718</v>
      </c>
    </row>
    <row r="480" spans="2:4" customFormat="1" hidden="1" x14ac:dyDescent="0.25">
      <c r="B480" s="4" t="str">
        <f>"90-095"</f>
        <v>90-095</v>
      </c>
      <c r="C480" t="s">
        <v>949</v>
      </c>
      <c r="D480" s="327">
        <v>38718</v>
      </c>
    </row>
    <row r="481" spans="2:4" customFormat="1" hidden="1" x14ac:dyDescent="0.25">
      <c r="B481" s="4" t="str">
        <f>"91-001"</f>
        <v>91-001</v>
      </c>
      <c r="C481" t="s">
        <v>950</v>
      </c>
      <c r="D481" s="327">
        <v>39083</v>
      </c>
    </row>
    <row r="482" spans="2:4" customFormat="1" hidden="1" x14ac:dyDescent="0.25">
      <c r="B482" s="4" t="str">
        <f>"91-002"</f>
        <v>91-002</v>
      </c>
      <c r="C482" t="s">
        <v>951</v>
      </c>
      <c r="D482" s="327">
        <v>38718</v>
      </c>
    </row>
    <row r="483" spans="2:4" customFormat="1" hidden="1" x14ac:dyDescent="0.25">
      <c r="B483" s="4" t="str">
        <f>"91-003"</f>
        <v>91-003</v>
      </c>
      <c r="C483" t="s">
        <v>952</v>
      </c>
      <c r="D483" s="327">
        <v>38718</v>
      </c>
    </row>
    <row r="484" spans="2:4" customFormat="1" hidden="1" x14ac:dyDescent="0.25">
      <c r="B484" s="4" t="str">
        <f>"91-004"</f>
        <v>91-004</v>
      </c>
      <c r="C484" t="s">
        <v>953</v>
      </c>
      <c r="D484" s="327">
        <v>38718</v>
      </c>
    </row>
    <row r="485" spans="2:4" customFormat="1" hidden="1" x14ac:dyDescent="0.25">
      <c r="B485" s="4" t="str">
        <f>"91-006"</f>
        <v>91-006</v>
      </c>
      <c r="C485" t="s">
        <v>954</v>
      </c>
      <c r="D485" s="327">
        <v>38718</v>
      </c>
    </row>
    <row r="486" spans="2:4" customFormat="1" hidden="1" x14ac:dyDescent="0.25">
      <c r="B486" s="4" t="str">
        <f>"91-007"</f>
        <v>91-007</v>
      </c>
      <c r="C486" t="s">
        <v>705</v>
      </c>
      <c r="D486" s="327">
        <v>39448</v>
      </c>
    </row>
    <row r="487" spans="2:4" customFormat="1" hidden="1" x14ac:dyDescent="0.25">
      <c r="B487" s="4" t="str">
        <f>"91-008"</f>
        <v>91-008</v>
      </c>
      <c r="C487" t="s">
        <v>955</v>
      </c>
      <c r="D487" s="327">
        <v>39448</v>
      </c>
    </row>
    <row r="488" spans="2:4" customFormat="1" hidden="1" x14ac:dyDescent="0.25">
      <c r="B488" s="4" t="str">
        <f>"91-009"</f>
        <v>91-009</v>
      </c>
      <c r="C488" t="s">
        <v>956</v>
      </c>
      <c r="D488" s="327">
        <v>39083</v>
      </c>
    </row>
    <row r="489" spans="2:4" customFormat="1" hidden="1" x14ac:dyDescent="0.25">
      <c r="B489" s="4" t="str">
        <f>"91-010"</f>
        <v>91-010</v>
      </c>
      <c r="C489" t="s">
        <v>957</v>
      </c>
      <c r="D489" s="327">
        <v>39448</v>
      </c>
    </row>
    <row r="490" spans="2:4" customFormat="1" hidden="1" x14ac:dyDescent="0.25">
      <c r="B490" s="4" t="str">
        <f>"91-011"</f>
        <v>91-011</v>
      </c>
      <c r="C490" t="s">
        <v>958</v>
      </c>
      <c r="D490" s="327">
        <v>39083</v>
      </c>
    </row>
    <row r="491" spans="2:4" customFormat="1" hidden="1" x14ac:dyDescent="0.25">
      <c r="B491" s="4" t="str">
        <f>"91-012"</f>
        <v>91-012</v>
      </c>
      <c r="C491" t="s">
        <v>959</v>
      </c>
      <c r="D491" s="327">
        <v>39083</v>
      </c>
    </row>
    <row r="492" spans="2:4" customFormat="1" hidden="1" x14ac:dyDescent="0.25">
      <c r="B492" s="4" t="str">
        <f>"91-013"</f>
        <v>91-013</v>
      </c>
      <c r="C492" t="s">
        <v>960</v>
      </c>
      <c r="D492" s="327">
        <v>39083</v>
      </c>
    </row>
    <row r="493" spans="2:4" customFormat="1" hidden="1" x14ac:dyDescent="0.25">
      <c r="B493" s="4" t="str">
        <f>"91-015"</f>
        <v>91-015</v>
      </c>
      <c r="C493" t="s">
        <v>961</v>
      </c>
      <c r="D493" s="327">
        <v>38718</v>
      </c>
    </row>
    <row r="494" spans="2:4" customFormat="1" hidden="1" x14ac:dyDescent="0.25">
      <c r="B494" s="4" t="str">
        <f>"91-016"</f>
        <v>91-016</v>
      </c>
      <c r="C494" t="s">
        <v>962</v>
      </c>
      <c r="D494" s="327">
        <v>39083</v>
      </c>
    </row>
    <row r="495" spans="2:4" customFormat="1" hidden="1" x14ac:dyDescent="0.25">
      <c r="B495" s="4" t="str">
        <f>"91-018"</f>
        <v>91-018</v>
      </c>
      <c r="C495" t="s">
        <v>963</v>
      </c>
      <c r="D495" s="327">
        <v>39448</v>
      </c>
    </row>
    <row r="496" spans="2:4" customFormat="1" hidden="1" x14ac:dyDescent="0.25">
      <c r="B496" s="4" t="str">
        <f>"91-021"</f>
        <v>91-021</v>
      </c>
      <c r="C496" t="s">
        <v>964</v>
      </c>
      <c r="D496" s="327">
        <v>39448</v>
      </c>
    </row>
    <row r="497" spans="2:4" customFormat="1" hidden="1" x14ac:dyDescent="0.25">
      <c r="B497" s="4" t="str">
        <f>"91-026"</f>
        <v>91-026</v>
      </c>
      <c r="C497" t="s">
        <v>965</v>
      </c>
      <c r="D497" s="327">
        <v>39083</v>
      </c>
    </row>
    <row r="498" spans="2:4" customFormat="1" hidden="1" x14ac:dyDescent="0.25">
      <c r="B498" s="4" t="str">
        <f>"91-027"</f>
        <v>91-027</v>
      </c>
      <c r="C498" t="s">
        <v>966</v>
      </c>
      <c r="D498" s="327">
        <v>39083</v>
      </c>
    </row>
    <row r="499" spans="2:4" customFormat="1" hidden="1" x14ac:dyDescent="0.25">
      <c r="B499" s="4" t="str">
        <f>"91-028"</f>
        <v>91-028</v>
      </c>
      <c r="C499" t="s">
        <v>664</v>
      </c>
      <c r="D499" s="327">
        <v>39083</v>
      </c>
    </row>
    <row r="500" spans="2:4" customFormat="1" hidden="1" x14ac:dyDescent="0.25">
      <c r="B500" s="4" t="str">
        <f>"91-031"</f>
        <v>91-031</v>
      </c>
      <c r="C500" t="s">
        <v>967</v>
      </c>
      <c r="D500" s="327">
        <v>39083</v>
      </c>
    </row>
    <row r="501" spans="2:4" customFormat="1" hidden="1" x14ac:dyDescent="0.25">
      <c r="B501" s="4" t="str">
        <f>"91-040"</f>
        <v>91-040</v>
      </c>
      <c r="C501" t="s">
        <v>968</v>
      </c>
      <c r="D501" s="327">
        <v>39083</v>
      </c>
    </row>
    <row r="502" spans="2:4" customFormat="1" hidden="1" x14ac:dyDescent="0.25">
      <c r="B502" s="4" t="str">
        <f>"91-045"</f>
        <v>91-045</v>
      </c>
      <c r="C502" t="s">
        <v>969</v>
      </c>
      <c r="D502" s="327">
        <v>39448</v>
      </c>
    </row>
    <row r="503" spans="2:4" customFormat="1" hidden="1" x14ac:dyDescent="0.25">
      <c r="B503" s="4" t="str">
        <f>"91-046"</f>
        <v>91-046</v>
      </c>
      <c r="C503" t="s">
        <v>970</v>
      </c>
      <c r="D503" s="327">
        <v>39083</v>
      </c>
    </row>
    <row r="504" spans="2:4" customFormat="1" hidden="1" x14ac:dyDescent="0.25">
      <c r="B504" s="4" t="str">
        <f>"91-047"</f>
        <v>91-047</v>
      </c>
      <c r="C504" t="s">
        <v>971</v>
      </c>
      <c r="D504" s="327">
        <v>39448</v>
      </c>
    </row>
    <row r="505" spans="2:4" customFormat="1" hidden="1" x14ac:dyDescent="0.25">
      <c r="B505" s="4" t="str">
        <f>"91-048"</f>
        <v>91-048</v>
      </c>
      <c r="C505" t="s">
        <v>972</v>
      </c>
      <c r="D505" s="327">
        <v>39448</v>
      </c>
    </row>
    <row r="506" spans="2:4" customFormat="1" hidden="1" x14ac:dyDescent="0.25">
      <c r="B506" s="4" t="str">
        <f>"91-053"</f>
        <v>91-053</v>
      </c>
      <c r="C506" t="s">
        <v>973</v>
      </c>
      <c r="D506" s="327">
        <v>39448</v>
      </c>
    </row>
    <row r="507" spans="2:4" customFormat="1" hidden="1" x14ac:dyDescent="0.25">
      <c r="B507" s="4" t="str">
        <f>"91-055"</f>
        <v>91-055</v>
      </c>
      <c r="C507" t="s">
        <v>974</v>
      </c>
      <c r="D507" s="327">
        <v>39083</v>
      </c>
    </row>
    <row r="508" spans="2:4" customFormat="1" hidden="1" x14ac:dyDescent="0.25">
      <c r="B508" s="4" t="str">
        <f>"91-058"</f>
        <v>91-058</v>
      </c>
      <c r="C508" t="s">
        <v>975</v>
      </c>
      <c r="D508" s="327">
        <v>39448</v>
      </c>
    </row>
    <row r="509" spans="2:4" customFormat="1" hidden="1" x14ac:dyDescent="0.25">
      <c r="B509" s="4" t="str">
        <f>"92-001"</f>
        <v>92-001</v>
      </c>
      <c r="C509" t="s">
        <v>976</v>
      </c>
      <c r="D509" s="327">
        <v>39814</v>
      </c>
    </row>
    <row r="510" spans="2:4" customFormat="1" hidden="1" x14ac:dyDescent="0.25">
      <c r="B510" s="4" t="str">
        <f>"92-002"</f>
        <v>92-002</v>
      </c>
      <c r="C510" t="s">
        <v>977</v>
      </c>
      <c r="D510" s="327">
        <v>39448</v>
      </c>
    </row>
    <row r="511" spans="2:4" customFormat="1" hidden="1" x14ac:dyDescent="0.25">
      <c r="B511" s="4" t="str">
        <f>"92-003"</f>
        <v>92-003</v>
      </c>
      <c r="C511" t="s">
        <v>978</v>
      </c>
      <c r="D511" s="327">
        <v>39448</v>
      </c>
    </row>
    <row r="512" spans="2:4" customFormat="1" hidden="1" x14ac:dyDescent="0.25">
      <c r="B512" s="4" t="str">
        <f>"92-004"</f>
        <v>92-004</v>
      </c>
      <c r="C512" t="s">
        <v>979</v>
      </c>
      <c r="D512" s="327">
        <v>39448</v>
      </c>
    </row>
    <row r="513" spans="2:4" customFormat="1" hidden="1" x14ac:dyDescent="0.25">
      <c r="B513" s="4" t="str">
        <f>"92-008"</f>
        <v>92-008</v>
      </c>
      <c r="C513" t="s">
        <v>980</v>
      </c>
      <c r="D513" s="327">
        <v>39448</v>
      </c>
    </row>
    <row r="514" spans="2:4" customFormat="1" hidden="1" x14ac:dyDescent="0.25">
      <c r="B514" s="4" t="str">
        <f>"92-009"</f>
        <v>92-009</v>
      </c>
      <c r="C514" t="s">
        <v>981</v>
      </c>
      <c r="D514" s="327">
        <v>39814</v>
      </c>
    </row>
    <row r="515" spans="2:4" customFormat="1" hidden="1" x14ac:dyDescent="0.25">
      <c r="B515" s="4" t="str">
        <f>"92-015"</f>
        <v>92-015</v>
      </c>
      <c r="C515" t="s">
        <v>982</v>
      </c>
      <c r="D515" s="327">
        <v>39083</v>
      </c>
    </row>
    <row r="516" spans="2:4" customFormat="1" hidden="1" x14ac:dyDescent="0.25">
      <c r="B516" s="4" t="str">
        <f>"92-016"</f>
        <v>92-016</v>
      </c>
      <c r="C516" t="s">
        <v>983</v>
      </c>
      <c r="D516" s="327">
        <v>39814</v>
      </c>
    </row>
    <row r="517" spans="2:4" customFormat="1" hidden="1" x14ac:dyDescent="0.25">
      <c r="B517" s="4" t="str">
        <f>"92-018"</f>
        <v>92-018</v>
      </c>
      <c r="C517" t="s">
        <v>984</v>
      </c>
      <c r="D517" s="327">
        <v>39814</v>
      </c>
    </row>
    <row r="518" spans="2:4" customFormat="1" hidden="1" x14ac:dyDescent="0.25">
      <c r="B518" s="4" t="str">
        <f>"92-020"</f>
        <v>92-020</v>
      </c>
      <c r="C518" t="s">
        <v>985</v>
      </c>
      <c r="D518" s="327">
        <v>39448</v>
      </c>
    </row>
    <row r="519" spans="2:4" customFormat="1" hidden="1" x14ac:dyDescent="0.25">
      <c r="B519" s="4" t="str">
        <f>"92-027"</f>
        <v>92-027</v>
      </c>
      <c r="C519" t="s">
        <v>986</v>
      </c>
      <c r="D519" s="327">
        <v>39814</v>
      </c>
    </row>
    <row r="520" spans="2:4" customFormat="1" hidden="1" x14ac:dyDescent="0.25">
      <c r="B520" s="4" t="str">
        <f>"92-028"</f>
        <v>92-028</v>
      </c>
      <c r="C520" t="s">
        <v>987</v>
      </c>
      <c r="D520" s="327">
        <v>39448</v>
      </c>
    </row>
    <row r="521" spans="2:4" customFormat="1" hidden="1" x14ac:dyDescent="0.25">
      <c r="B521" s="4" t="str">
        <f>"92-030"</f>
        <v>92-030</v>
      </c>
      <c r="C521" t="s">
        <v>988</v>
      </c>
      <c r="D521" s="327">
        <v>39448</v>
      </c>
    </row>
    <row r="522" spans="2:4" customFormat="1" hidden="1" x14ac:dyDescent="0.25">
      <c r="B522" s="4" t="str">
        <f>"92-040"</f>
        <v>92-040</v>
      </c>
      <c r="C522" t="s">
        <v>989</v>
      </c>
      <c r="D522" s="327">
        <v>39083</v>
      </c>
    </row>
    <row r="523" spans="2:4" customFormat="1" hidden="1" x14ac:dyDescent="0.25">
      <c r="B523" s="4" t="str">
        <f>"92-048"</f>
        <v>92-048</v>
      </c>
      <c r="C523" t="s">
        <v>990</v>
      </c>
      <c r="D523" s="327">
        <v>39814</v>
      </c>
    </row>
    <row r="524" spans="2:4" customFormat="1" hidden="1" x14ac:dyDescent="0.25">
      <c r="B524" s="4" t="str">
        <f>"92-049"</f>
        <v>92-049</v>
      </c>
      <c r="C524" t="s">
        <v>991</v>
      </c>
      <c r="D524" s="327">
        <v>39083</v>
      </c>
    </row>
    <row r="525" spans="2:4" customFormat="1" hidden="1" x14ac:dyDescent="0.25">
      <c r="B525" s="4" t="str">
        <f>"93-001"</f>
        <v>93-001</v>
      </c>
      <c r="C525" t="s">
        <v>992</v>
      </c>
      <c r="D525" s="327">
        <v>39814</v>
      </c>
    </row>
    <row r="526" spans="2:4" customFormat="1" hidden="1" x14ac:dyDescent="0.25">
      <c r="B526" s="4" t="str">
        <f>"93-006"</f>
        <v>93-006</v>
      </c>
      <c r="C526" t="s">
        <v>993</v>
      </c>
      <c r="D526" s="327">
        <v>39448</v>
      </c>
    </row>
    <row r="527" spans="2:4" customFormat="1" hidden="1" x14ac:dyDescent="0.25">
      <c r="B527" s="4" t="str">
        <f>"93-007"</f>
        <v>93-007</v>
      </c>
      <c r="C527" t="s">
        <v>994</v>
      </c>
      <c r="D527" s="327">
        <v>39814</v>
      </c>
    </row>
    <row r="528" spans="2:4" customFormat="1" hidden="1" x14ac:dyDescent="0.25">
      <c r="B528" s="4" t="str">
        <f>"93-008"</f>
        <v>93-008</v>
      </c>
      <c r="C528" t="s">
        <v>995</v>
      </c>
      <c r="D528" s="327">
        <v>39814</v>
      </c>
    </row>
    <row r="529" spans="2:4" customFormat="1" hidden="1" x14ac:dyDescent="0.25">
      <c r="B529" s="4" t="str">
        <f>"93-011"</f>
        <v>93-011</v>
      </c>
      <c r="C529" t="s">
        <v>996</v>
      </c>
      <c r="D529" s="327">
        <v>39448</v>
      </c>
    </row>
    <row r="530" spans="2:4" customFormat="1" hidden="1" x14ac:dyDescent="0.25">
      <c r="B530" s="4" t="str">
        <f>"93-013"</f>
        <v>93-013</v>
      </c>
      <c r="C530" t="s">
        <v>997</v>
      </c>
      <c r="D530" s="327">
        <v>39814</v>
      </c>
    </row>
    <row r="531" spans="2:4" customFormat="1" hidden="1" x14ac:dyDescent="0.25">
      <c r="B531" s="4" t="str">
        <f>"93-014"</f>
        <v>93-014</v>
      </c>
      <c r="C531" t="s">
        <v>998</v>
      </c>
      <c r="D531" s="327">
        <v>39814</v>
      </c>
    </row>
    <row r="532" spans="2:4" customFormat="1" hidden="1" x14ac:dyDescent="0.25">
      <c r="B532" s="4" t="str">
        <f>"93-015"</f>
        <v>93-015</v>
      </c>
      <c r="C532" t="s">
        <v>999</v>
      </c>
      <c r="D532" s="327">
        <v>40179</v>
      </c>
    </row>
    <row r="533" spans="2:4" customFormat="1" hidden="1" x14ac:dyDescent="0.25">
      <c r="B533" s="4" t="str">
        <f>"93-017"</f>
        <v>93-017</v>
      </c>
      <c r="C533" t="s">
        <v>1000</v>
      </c>
      <c r="D533" s="327">
        <v>40544</v>
      </c>
    </row>
    <row r="534" spans="2:4" customFormat="1" hidden="1" x14ac:dyDescent="0.25">
      <c r="B534" s="4" t="str">
        <f>"93-018"</f>
        <v>93-018</v>
      </c>
      <c r="C534" t="s">
        <v>1001</v>
      </c>
      <c r="D534" s="327">
        <v>39814</v>
      </c>
    </row>
    <row r="535" spans="2:4" customFormat="1" hidden="1" x14ac:dyDescent="0.25">
      <c r="B535" s="4" t="str">
        <f>"93-019"</f>
        <v>93-019</v>
      </c>
      <c r="C535" t="s">
        <v>1002</v>
      </c>
      <c r="D535" s="327">
        <v>40179</v>
      </c>
    </row>
    <row r="536" spans="2:4" customFormat="1" hidden="1" x14ac:dyDescent="0.25">
      <c r="B536" s="4" t="str">
        <f>"93-021"</f>
        <v>93-021</v>
      </c>
      <c r="C536" t="s">
        <v>1003</v>
      </c>
      <c r="D536" s="327">
        <v>39814</v>
      </c>
    </row>
    <row r="537" spans="2:4" customFormat="1" hidden="1" x14ac:dyDescent="0.25">
      <c r="B537" s="4" t="str">
        <f>"93-023"</f>
        <v>93-023</v>
      </c>
      <c r="C537" t="s">
        <v>1004</v>
      </c>
      <c r="D537" s="327">
        <v>39814</v>
      </c>
    </row>
    <row r="538" spans="2:4" customFormat="1" hidden="1" x14ac:dyDescent="0.25">
      <c r="B538" s="4" t="str">
        <f>"93-024"</f>
        <v>93-024</v>
      </c>
      <c r="C538" t="s">
        <v>1005</v>
      </c>
      <c r="D538" s="327">
        <v>39814</v>
      </c>
    </row>
    <row r="539" spans="2:4" customFormat="1" hidden="1" x14ac:dyDescent="0.25">
      <c r="B539" s="4" t="str">
        <f>"93-025"</f>
        <v>93-025</v>
      </c>
      <c r="C539" t="s">
        <v>1006</v>
      </c>
      <c r="D539" s="327">
        <v>40179</v>
      </c>
    </row>
    <row r="540" spans="2:4" customFormat="1" hidden="1" x14ac:dyDescent="0.25">
      <c r="B540" s="4" t="str">
        <f>"93-026"</f>
        <v>93-026</v>
      </c>
      <c r="C540" t="s">
        <v>1007</v>
      </c>
      <c r="D540" s="327">
        <v>39814</v>
      </c>
    </row>
    <row r="541" spans="2:4" customFormat="1" hidden="1" x14ac:dyDescent="0.25">
      <c r="B541" s="4" t="str">
        <f>"93-027"</f>
        <v>93-027</v>
      </c>
      <c r="C541" t="s">
        <v>1008</v>
      </c>
      <c r="D541" s="327">
        <v>39448</v>
      </c>
    </row>
    <row r="542" spans="2:4" customFormat="1" hidden="1" x14ac:dyDescent="0.25">
      <c r="B542" s="4" t="str">
        <f>"93-029"</f>
        <v>93-029</v>
      </c>
      <c r="C542" t="s">
        <v>1009</v>
      </c>
      <c r="D542" s="327">
        <v>40544</v>
      </c>
    </row>
    <row r="543" spans="2:4" customFormat="1" hidden="1" x14ac:dyDescent="0.25">
      <c r="B543" s="4" t="str">
        <f>"93-031"</f>
        <v>93-031</v>
      </c>
      <c r="C543" t="s">
        <v>1010</v>
      </c>
      <c r="D543" s="327">
        <v>39814</v>
      </c>
    </row>
    <row r="544" spans="2:4" customFormat="1" hidden="1" x14ac:dyDescent="0.25">
      <c r="B544" s="4" t="str">
        <f>"93-033"</f>
        <v>93-033</v>
      </c>
      <c r="C544" t="s">
        <v>855</v>
      </c>
      <c r="D544" s="327">
        <v>39814</v>
      </c>
    </row>
    <row r="545" spans="2:4" customFormat="1" hidden="1" x14ac:dyDescent="0.25">
      <c r="B545" s="4" t="str">
        <f>"93-034"</f>
        <v>93-034</v>
      </c>
      <c r="C545" t="s">
        <v>1011</v>
      </c>
      <c r="D545" s="327">
        <v>39814</v>
      </c>
    </row>
    <row r="546" spans="2:4" customFormat="1" hidden="1" x14ac:dyDescent="0.25">
      <c r="B546" s="4" t="str">
        <f>"93-035"</f>
        <v>93-035</v>
      </c>
      <c r="C546" t="s">
        <v>1012</v>
      </c>
      <c r="D546" s="327">
        <v>39814</v>
      </c>
    </row>
    <row r="547" spans="2:4" customFormat="1" hidden="1" x14ac:dyDescent="0.25">
      <c r="B547" s="4" t="str">
        <f>"93-042"</f>
        <v>93-042</v>
      </c>
      <c r="C547" t="s">
        <v>1013</v>
      </c>
      <c r="D547" s="327">
        <v>39814</v>
      </c>
    </row>
    <row r="548" spans="2:4" customFormat="1" hidden="1" x14ac:dyDescent="0.25">
      <c r="B548" s="4" t="str">
        <f>"94-001"</f>
        <v>94-001</v>
      </c>
      <c r="C548" t="s">
        <v>1014</v>
      </c>
      <c r="D548" s="327">
        <v>39814</v>
      </c>
    </row>
    <row r="549" spans="2:4" customFormat="1" hidden="1" x14ac:dyDescent="0.25">
      <c r="B549" s="4" t="str">
        <f>"94-002"</f>
        <v>94-002</v>
      </c>
      <c r="C549" t="s">
        <v>1015</v>
      </c>
      <c r="D549" s="327">
        <v>40544</v>
      </c>
    </row>
    <row r="550" spans="2:4" customFormat="1" hidden="1" x14ac:dyDescent="0.25">
      <c r="B550" s="4" t="str">
        <f>"94-003"</f>
        <v>94-003</v>
      </c>
      <c r="C550" t="s">
        <v>1016</v>
      </c>
      <c r="D550" s="327">
        <v>39814</v>
      </c>
    </row>
    <row r="551" spans="2:4" customFormat="1" hidden="1" x14ac:dyDescent="0.25">
      <c r="B551" s="4" t="str">
        <f>"94-013"</f>
        <v>94-013</v>
      </c>
      <c r="C551" t="s">
        <v>1017</v>
      </c>
      <c r="D551" s="327">
        <v>40544</v>
      </c>
    </row>
    <row r="552" spans="2:4" customFormat="1" hidden="1" x14ac:dyDescent="0.25">
      <c r="B552" s="4" t="str">
        <f>"94-021"</f>
        <v>94-021</v>
      </c>
      <c r="C552" t="s">
        <v>1018</v>
      </c>
      <c r="D552" s="327">
        <v>40544</v>
      </c>
    </row>
    <row r="553" spans="2:4" customFormat="1" hidden="1" x14ac:dyDescent="0.25">
      <c r="B553" s="4" t="str">
        <f>"94-022"</f>
        <v>94-022</v>
      </c>
      <c r="C553" t="s">
        <v>1019</v>
      </c>
      <c r="D553" s="327">
        <v>40544</v>
      </c>
    </row>
    <row r="554" spans="2:4" customFormat="1" hidden="1" x14ac:dyDescent="0.25">
      <c r="B554" s="4" t="str">
        <f>"94-034"</f>
        <v>94-034</v>
      </c>
      <c r="C554" t="s">
        <v>1020</v>
      </c>
      <c r="D554" s="327">
        <v>40544</v>
      </c>
    </row>
    <row r="555" spans="2:4" customFormat="1" hidden="1" x14ac:dyDescent="0.25">
      <c r="B555" s="4" t="str">
        <f>"94-036"</f>
        <v>94-036</v>
      </c>
      <c r="C555" t="s">
        <v>1021</v>
      </c>
      <c r="D555" s="327">
        <v>40544</v>
      </c>
    </row>
    <row r="556" spans="2:4" customFormat="1" hidden="1" x14ac:dyDescent="0.25">
      <c r="B556" s="4" t="str">
        <f>"94-043"</f>
        <v>94-043</v>
      </c>
      <c r="C556" t="s">
        <v>1022</v>
      </c>
      <c r="D556" s="327">
        <v>40544</v>
      </c>
    </row>
    <row r="557" spans="2:4" customFormat="1" hidden="1" x14ac:dyDescent="0.25">
      <c r="B557" s="4" t="str">
        <f>"94-051"</f>
        <v>94-051</v>
      </c>
      <c r="C557" t="s">
        <v>1023</v>
      </c>
      <c r="D557" s="327">
        <v>40544</v>
      </c>
    </row>
    <row r="558" spans="2:4" customFormat="1" hidden="1" x14ac:dyDescent="0.25">
      <c r="B558" s="4" t="str">
        <f>"94-052"</f>
        <v>94-052</v>
      </c>
      <c r="C558" t="s">
        <v>1024</v>
      </c>
      <c r="D558" s="327">
        <v>40544</v>
      </c>
    </row>
    <row r="559" spans="2:4" customFormat="1" hidden="1" x14ac:dyDescent="0.25">
      <c r="B559" s="4" t="str">
        <f>"94-053"</f>
        <v>94-053</v>
      </c>
      <c r="C559" t="s">
        <v>1025</v>
      </c>
      <c r="D559" s="327">
        <v>40544</v>
      </c>
    </row>
    <row r="560" spans="2:4" customFormat="1" hidden="1" x14ac:dyDescent="0.25">
      <c r="B560" s="4" t="str">
        <f>"94-054"</f>
        <v>94-054</v>
      </c>
      <c r="C560" t="s">
        <v>1026</v>
      </c>
      <c r="D560" s="327">
        <v>40544</v>
      </c>
    </row>
    <row r="561" spans="2:4" customFormat="1" hidden="1" x14ac:dyDescent="0.25">
      <c r="B561" s="4" t="str">
        <f>"94-055"</f>
        <v>94-055</v>
      </c>
      <c r="C561" t="s">
        <v>1027</v>
      </c>
      <c r="D561" s="327">
        <v>40544</v>
      </c>
    </row>
    <row r="562" spans="2:4" customFormat="1" hidden="1" x14ac:dyDescent="0.25">
      <c r="B562" s="4" t="str">
        <f>"94-056"</f>
        <v>94-056</v>
      </c>
      <c r="C562" t="s">
        <v>1028</v>
      </c>
      <c r="D562" s="327">
        <v>40909</v>
      </c>
    </row>
    <row r="563" spans="2:4" customFormat="1" hidden="1" x14ac:dyDescent="0.25">
      <c r="B563" s="4" t="str">
        <f>"95-008"</f>
        <v>95-008</v>
      </c>
      <c r="C563" t="s">
        <v>1029</v>
      </c>
      <c r="D563" s="327">
        <v>40909</v>
      </c>
    </row>
    <row r="564" spans="2:4" customFormat="1" hidden="1" x14ac:dyDescent="0.25">
      <c r="B564" s="4" t="str">
        <f>"95-010"</f>
        <v>95-010</v>
      </c>
      <c r="C564" t="s">
        <v>1030</v>
      </c>
      <c r="D564" s="327">
        <v>40909</v>
      </c>
    </row>
    <row r="565" spans="2:4" customFormat="1" hidden="1" x14ac:dyDescent="0.25">
      <c r="B565" s="4" t="str">
        <f>"95-033"</f>
        <v>95-033</v>
      </c>
      <c r="C565" t="s">
        <v>1031</v>
      </c>
      <c r="D565" s="327">
        <v>40909</v>
      </c>
    </row>
    <row r="566" spans="2:4" customFormat="1" hidden="1" x14ac:dyDescent="0.25">
      <c r="B566" s="4" t="str">
        <f>"95-034"</f>
        <v>95-034</v>
      </c>
      <c r="C566" t="s">
        <v>1032</v>
      </c>
      <c r="D566" s="327">
        <v>40909</v>
      </c>
    </row>
    <row r="567" spans="2:4" customFormat="1" hidden="1" x14ac:dyDescent="0.25">
      <c r="B567" s="4" t="str">
        <f>"95-035"</f>
        <v>95-035</v>
      </c>
      <c r="C567" t="s">
        <v>1033</v>
      </c>
      <c r="D567" s="327">
        <v>41275</v>
      </c>
    </row>
    <row r="568" spans="2:4" customFormat="1" hidden="1" x14ac:dyDescent="0.25">
      <c r="B568" s="4" t="str">
        <f>"95-036"</f>
        <v>95-036</v>
      </c>
      <c r="C568" t="s">
        <v>1034</v>
      </c>
      <c r="D568" s="327">
        <v>41275</v>
      </c>
    </row>
    <row r="569" spans="2:4" customFormat="1" hidden="1" x14ac:dyDescent="0.25">
      <c r="B569" s="4" t="str">
        <f>"95-037"</f>
        <v>95-037</v>
      </c>
      <c r="C569" t="s">
        <v>1035</v>
      </c>
      <c r="D569" s="327">
        <v>40909</v>
      </c>
    </row>
    <row r="570" spans="2:4" customFormat="1" hidden="1" x14ac:dyDescent="0.25">
      <c r="B570" s="4" t="str">
        <f>"95-039"</f>
        <v>95-039</v>
      </c>
      <c r="C570" t="s">
        <v>1036</v>
      </c>
      <c r="D570" s="327">
        <v>40909</v>
      </c>
    </row>
    <row r="571" spans="2:4" customFormat="1" hidden="1" x14ac:dyDescent="0.25">
      <c r="B571" s="4" t="str">
        <f>"95-040"</f>
        <v>95-040</v>
      </c>
      <c r="C571" t="s">
        <v>1037</v>
      </c>
      <c r="D571" s="327">
        <v>40909</v>
      </c>
    </row>
    <row r="572" spans="2:4" customFormat="1" hidden="1" x14ac:dyDescent="0.25">
      <c r="B572" s="4" t="str">
        <f>"95-043"</f>
        <v>95-043</v>
      </c>
      <c r="C572" t="s">
        <v>1038</v>
      </c>
      <c r="D572" s="327">
        <v>40909</v>
      </c>
    </row>
    <row r="573" spans="2:4" customFormat="1" hidden="1" x14ac:dyDescent="0.25">
      <c r="B573" s="4" t="str">
        <f>"95-044"</f>
        <v>95-044</v>
      </c>
      <c r="C573" t="s">
        <v>551</v>
      </c>
      <c r="D573" s="327">
        <v>40909</v>
      </c>
    </row>
    <row r="574" spans="2:4" customFormat="1" hidden="1" x14ac:dyDescent="0.25">
      <c r="B574" s="4" t="str">
        <f>"95-046"</f>
        <v>95-046</v>
      </c>
      <c r="C574" t="s">
        <v>1039</v>
      </c>
      <c r="D574" s="327">
        <v>40909</v>
      </c>
    </row>
    <row r="575" spans="2:4" customFormat="1" hidden="1" x14ac:dyDescent="0.25">
      <c r="B575" s="4" t="str">
        <f>"95-047"</f>
        <v>95-047</v>
      </c>
      <c r="C575" t="s">
        <v>1040</v>
      </c>
      <c r="D575" s="327">
        <v>40909</v>
      </c>
    </row>
    <row r="576" spans="2:4" customFormat="1" hidden="1" x14ac:dyDescent="0.25">
      <c r="B576" s="4" t="str">
        <f>"95-048"</f>
        <v>95-048</v>
      </c>
      <c r="C576" t="s">
        <v>1041</v>
      </c>
      <c r="D576" s="327">
        <v>40909</v>
      </c>
    </row>
    <row r="577" spans="2:4" customFormat="1" hidden="1" x14ac:dyDescent="0.25">
      <c r="B577" s="4" t="str">
        <f>"95-079"</f>
        <v>95-079</v>
      </c>
      <c r="C577" t="s">
        <v>863</v>
      </c>
      <c r="D577" s="327">
        <v>40909</v>
      </c>
    </row>
    <row r="578" spans="2:4" customFormat="1" hidden="1" x14ac:dyDescent="0.25">
      <c r="B578" s="4" t="str">
        <f>"95-104"</f>
        <v>95-104</v>
      </c>
      <c r="C578" t="s">
        <v>1042</v>
      </c>
      <c r="D578" s="327">
        <v>40909</v>
      </c>
    </row>
    <row r="579" spans="2:4" customFormat="1" hidden="1" x14ac:dyDescent="0.25">
      <c r="B579" s="4" t="str">
        <f>"95-118"</f>
        <v>95-118</v>
      </c>
      <c r="C579" t="s">
        <v>1043</v>
      </c>
      <c r="D579" s="327">
        <v>41275</v>
      </c>
    </row>
    <row r="580" spans="2:4" customFormat="1" hidden="1" x14ac:dyDescent="0.25">
      <c r="B580" s="4" t="str">
        <f>"95-133"</f>
        <v>95-133</v>
      </c>
      <c r="C580" t="s">
        <v>1044</v>
      </c>
      <c r="D580" s="327">
        <v>40544</v>
      </c>
    </row>
    <row r="581" spans="2:4" customFormat="1" hidden="1" x14ac:dyDescent="0.25">
      <c r="B581" s="4" t="str">
        <f>"95-139"</f>
        <v>95-139</v>
      </c>
      <c r="C581" t="s">
        <v>1045</v>
      </c>
      <c r="D581" s="327">
        <v>40544</v>
      </c>
    </row>
    <row r="582" spans="2:4" customFormat="1" hidden="1" x14ac:dyDescent="0.25">
      <c r="B582" s="4" t="str">
        <f>"95-140"</f>
        <v>95-140</v>
      </c>
      <c r="C582" t="s">
        <v>1046</v>
      </c>
      <c r="D582" s="327">
        <v>40544</v>
      </c>
    </row>
    <row r="583" spans="2:4" customFormat="1" hidden="1" x14ac:dyDescent="0.25">
      <c r="B583" s="4" t="str">
        <f>"95-142"</f>
        <v>95-142</v>
      </c>
      <c r="C583" t="s">
        <v>1047</v>
      </c>
      <c r="D583" s="327">
        <v>40544</v>
      </c>
    </row>
    <row r="584" spans="2:4" customFormat="1" hidden="1" x14ac:dyDescent="0.25">
      <c r="B584" s="4" t="str">
        <f>"95-148"</f>
        <v>95-148</v>
      </c>
      <c r="C584" t="s">
        <v>1048</v>
      </c>
      <c r="D584" s="327">
        <v>40544</v>
      </c>
    </row>
    <row r="585" spans="2:4" customFormat="1" hidden="1" x14ac:dyDescent="0.25">
      <c r="B585" s="4" t="str">
        <f>"95-151"</f>
        <v>95-151</v>
      </c>
      <c r="C585" t="s">
        <v>1049</v>
      </c>
      <c r="D585" s="327">
        <v>40179</v>
      </c>
    </row>
    <row r="586" spans="2:4" customFormat="1" hidden="1" x14ac:dyDescent="0.25">
      <c r="B586" s="4" t="str">
        <f>"95-152"</f>
        <v>95-152</v>
      </c>
      <c r="C586" t="s">
        <v>1050</v>
      </c>
      <c r="D586" s="327">
        <v>41275</v>
      </c>
    </row>
    <row r="587" spans="2:4" customFormat="1" hidden="1" x14ac:dyDescent="0.25">
      <c r="B587" s="4" t="str">
        <f>"96-021"</f>
        <v>96-021</v>
      </c>
      <c r="C587" t="s">
        <v>1051</v>
      </c>
      <c r="D587" s="327">
        <v>41275</v>
      </c>
    </row>
    <row r="588" spans="2:4" customFormat="1" hidden="1" x14ac:dyDescent="0.25">
      <c r="B588" s="4" t="str">
        <f>"96-027"</f>
        <v>96-027</v>
      </c>
      <c r="C588" t="s">
        <v>1052</v>
      </c>
      <c r="D588" s="327">
        <v>41275</v>
      </c>
    </row>
    <row r="589" spans="2:4" customFormat="1" hidden="1" x14ac:dyDescent="0.25">
      <c r="B589" s="4" t="str">
        <f>"96-041"</f>
        <v>96-041</v>
      </c>
      <c r="C589" t="s">
        <v>1053</v>
      </c>
      <c r="D589" s="327">
        <v>41275</v>
      </c>
    </row>
    <row r="590" spans="2:4" customFormat="1" hidden="1" x14ac:dyDescent="0.25">
      <c r="B590" s="4" t="str">
        <f>"96-042"</f>
        <v>96-042</v>
      </c>
      <c r="C590" t="s">
        <v>1054</v>
      </c>
      <c r="D590" s="327">
        <v>41275</v>
      </c>
    </row>
    <row r="591" spans="2:4" customFormat="1" hidden="1" x14ac:dyDescent="0.25">
      <c r="B591" s="4" t="str">
        <f>"96-044"</f>
        <v>96-044</v>
      </c>
      <c r="C591" t="s">
        <v>1055</v>
      </c>
      <c r="D591" s="327">
        <v>41640</v>
      </c>
    </row>
    <row r="592" spans="2:4" customFormat="1" hidden="1" x14ac:dyDescent="0.25">
      <c r="B592" s="4" t="str">
        <f>"96-056"</f>
        <v>96-056</v>
      </c>
      <c r="C592" t="s">
        <v>1056</v>
      </c>
      <c r="D592" s="327">
        <v>40909</v>
      </c>
    </row>
    <row r="593" spans="2:4" customFormat="1" hidden="1" x14ac:dyDescent="0.25">
      <c r="B593" s="4" t="str">
        <f>"96-058"</f>
        <v>96-058</v>
      </c>
      <c r="C593" t="s">
        <v>1057</v>
      </c>
      <c r="D593" s="327">
        <v>40909</v>
      </c>
    </row>
    <row r="594" spans="2:4" customFormat="1" hidden="1" x14ac:dyDescent="0.25">
      <c r="B594" s="4" t="str">
        <f>"96-060"</f>
        <v>96-060</v>
      </c>
      <c r="C594" t="s">
        <v>1058</v>
      </c>
      <c r="D594" s="327">
        <v>40909</v>
      </c>
    </row>
    <row r="595" spans="2:4" customFormat="1" hidden="1" x14ac:dyDescent="0.25">
      <c r="B595" s="4" t="str">
        <f>"96-062"</f>
        <v>96-062</v>
      </c>
      <c r="C595" t="s">
        <v>1059</v>
      </c>
      <c r="D595" s="327">
        <v>40909</v>
      </c>
    </row>
    <row r="596" spans="2:4" customFormat="1" hidden="1" x14ac:dyDescent="0.25">
      <c r="B596" s="4" t="str">
        <f>"96-066"</f>
        <v>96-066</v>
      </c>
      <c r="C596" t="s">
        <v>1060</v>
      </c>
      <c r="D596" s="327">
        <v>40909</v>
      </c>
    </row>
    <row r="597" spans="2:4" customFormat="1" hidden="1" x14ac:dyDescent="0.25">
      <c r="B597" s="4" t="str">
        <f>"96-067"</f>
        <v>96-067</v>
      </c>
      <c r="C597" t="s">
        <v>1061</v>
      </c>
      <c r="D597" s="327">
        <v>41275</v>
      </c>
    </row>
    <row r="598" spans="2:4" customFormat="1" hidden="1" x14ac:dyDescent="0.25">
      <c r="B598" s="4" t="str">
        <f>"96-081"</f>
        <v>96-081</v>
      </c>
      <c r="C598" t="s">
        <v>1062</v>
      </c>
      <c r="D598" s="327">
        <v>40909</v>
      </c>
    </row>
    <row r="599" spans="2:4" customFormat="1" hidden="1" x14ac:dyDescent="0.25">
      <c r="B599" s="4" t="str">
        <f>"96-085"</f>
        <v>96-085</v>
      </c>
      <c r="C599" t="s">
        <v>1063</v>
      </c>
      <c r="D599" s="327">
        <v>41275</v>
      </c>
    </row>
    <row r="600" spans="2:4" customFormat="1" hidden="1" x14ac:dyDescent="0.25">
      <c r="B600" s="4" t="str">
        <f>"96-088"</f>
        <v>96-088</v>
      </c>
      <c r="C600" t="s">
        <v>1064</v>
      </c>
      <c r="D600" s="327">
        <v>40909</v>
      </c>
    </row>
    <row r="601" spans="2:4" customFormat="1" hidden="1" x14ac:dyDescent="0.25">
      <c r="B601" s="4" t="str">
        <f>"96-089"</f>
        <v>96-089</v>
      </c>
      <c r="C601" t="s">
        <v>1065</v>
      </c>
      <c r="D601" s="327">
        <v>40909</v>
      </c>
    </row>
    <row r="602" spans="2:4" customFormat="1" hidden="1" x14ac:dyDescent="0.25">
      <c r="B602" s="4" t="str">
        <f>"96-090"</f>
        <v>96-090</v>
      </c>
      <c r="C602" t="s">
        <v>1066</v>
      </c>
      <c r="D602" s="327">
        <v>41640</v>
      </c>
    </row>
    <row r="603" spans="2:4" customFormat="1" hidden="1" x14ac:dyDescent="0.25">
      <c r="B603" s="4" t="str">
        <f>"96-106"</f>
        <v>96-106</v>
      </c>
      <c r="C603" t="s">
        <v>1067</v>
      </c>
      <c r="D603" s="327">
        <v>41275</v>
      </c>
    </row>
    <row r="604" spans="2:4" customFormat="1" hidden="1" x14ac:dyDescent="0.25">
      <c r="B604" s="4" t="str">
        <f>"96-107"</f>
        <v>96-107</v>
      </c>
      <c r="C604" t="s">
        <v>1068</v>
      </c>
      <c r="D604" s="327">
        <v>41275</v>
      </c>
    </row>
    <row r="605" spans="2:4" customFormat="1" hidden="1" x14ac:dyDescent="0.25">
      <c r="B605" s="4" t="str">
        <f>"96-116"</f>
        <v>96-116</v>
      </c>
      <c r="C605" t="s">
        <v>1069</v>
      </c>
      <c r="D605" s="327">
        <v>41275</v>
      </c>
    </row>
    <row r="606" spans="2:4" customFormat="1" hidden="1" x14ac:dyDescent="0.25">
      <c r="B606" s="4" t="str">
        <f>"96-118"</f>
        <v>96-118</v>
      </c>
      <c r="C606" t="s">
        <v>1070</v>
      </c>
      <c r="D606" s="327">
        <v>41275</v>
      </c>
    </row>
    <row r="607" spans="2:4" customFormat="1" hidden="1" x14ac:dyDescent="0.25">
      <c r="B607" s="4" t="str">
        <f>"96-119"</f>
        <v>96-119</v>
      </c>
      <c r="C607" t="s">
        <v>1071</v>
      </c>
      <c r="D607" s="327">
        <v>41275</v>
      </c>
    </row>
    <row r="608" spans="2:4" customFormat="1" hidden="1" x14ac:dyDescent="0.25">
      <c r="B608" s="4" t="str">
        <f>"96-121"</f>
        <v>96-121</v>
      </c>
      <c r="C608" t="s">
        <v>1072</v>
      </c>
      <c r="D608" s="327">
        <v>40909</v>
      </c>
    </row>
    <row r="609" spans="2:4" customFormat="1" hidden="1" x14ac:dyDescent="0.25">
      <c r="B609" s="4" t="str">
        <f>"96-124"</f>
        <v>96-124</v>
      </c>
      <c r="C609" t="s">
        <v>1073</v>
      </c>
      <c r="D609" s="327">
        <v>41275</v>
      </c>
    </row>
    <row r="610" spans="2:4" customFormat="1" hidden="1" x14ac:dyDescent="0.25">
      <c r="B610" s="4" t="str">
        <f>"96-127"</f>
        <v>96-127</v>
      </c>
      <c r="C610" t="s">
        <v>1074</v>
      </c>
      <c r="D610" s="327">
        <v>41275</v>
      </c>
    </row>
    <row r="611" spans="2:4" customFormat="1" hidden="1" x14ac:dyDescent="0.25">
      <c r="B611" s="4" t="str">
        <f>"96-128"</f>
        <v>96-128</v>
      </c>
      <c r="C611" t="s">
        <v>1075</v>
      </c>
      <c r="D611" s="327">
        <v>41275</v>
      </c>
    </row>
    <row r="612" spans="2:4" customFormat="1" hidden="1" x14ac:dyDescent="0.25">
      <c r="B612" s="4" t="str">
        <f>"96-129"</f>
        <v>96-129</v>
      </c>
      <c r="C612" t="s">
        <v>1076</v>
      </c>
      <c r="D612" s="327">
        <v>41275</v>
      </c>
    </row>
    <row r="613" spans="2:4" customFormat="1" hidden="1" x14ac:dyDescent="0.25">
      <c r="B613" s="4" t="str">
        <f>"97-002"</f>
        <v>97-002</v>
      </c>
      <c r="C613" t="s">
        <v>1077</v>
      </c>
      <c r="D613" s="327">
        <v>40909</v>
      </c>
    </row>
    <row r="614" spans="2:4" customFormat="1" hidden="1" x14ac:dyDescent="0.25">
      <c r="B614" s="4" t="str">
        <f>"97-004"</f>
        <v>97-004</v>
      </c>
      <c r="C614" t="s">
        <v>1078</v>
      </c>
      <c r="D614" s="327">
        <v>41640</v>
      </c>
    </row>
    <row r="615" spans="2:4" customFormat="1" hidden="1" x14ac:dyDescent="0.25">
      <c r="B615" s="4" t="str">
        <f>"97-013"</f>
        <v>97-013</v>
      </c>
      <c r="C615" t="s">
        <v>1079</v>
      </c>
      <c r="D615" s="327">
        <v>42005</v>
      </c>
    </row>
    <row r="616" spans="2:4" customFormat="1" hidden="1" x14ac:dyDescent="0.25">
      <c r="B616" s="4" t="str">
        <f>"97-014"</f>
        <v>97-014</v>
      </c>
      <c r="C616" t="s">
        <v>1080</v>
      </c>
      <c r="D616" s="327">
        <v>41275</v>
      </c>
    </row>
    <row r="617" spans="2:4" customFormat="1" hidden="1" x14ac:dyDescent="0.25">
      <c r="B617" s="4" t="str">
        <f>"97-017"</f>
        <v>97-017</v>
      </c>
      <c r="C617" t="s">
        <v>1081</v>
      </c>
      <c r="D617" s="327">
        <v>41275</v>
      </c>
    </row>
    <row r="618" spans="2:4" customFormat="1" hidden="1" x14ac:dyDescent="0.25">
      <c r="B618" s="4" t="str">
        <f>"97-018"</f>
        <v>97-018</v>
      </c>
      <c r="C618" t="s">
        <v>1082</v>
      </c>
      <c r="D618" s="327">
        <v>41275</v>
      </c>
    </row>
    <row r="619" spans="2:4" customFormat="1" hidden="1" x14ac:dyDescent="0.25">
      <c r="B619" s="4" t="str">
        <f>"97-022"</f>
        <v>97-022</v>
      </c>
      <c r="C619" t="s">
        <v>1083</v>
      </c>
      <c r="D619" s="327">
        <v>41640</v>
      </c>
    </row>
    <row r="620" spans="2:4" customFormat="1" hidden="1" x14ac:dyDescent="0.25">
      <c r="B620" s="4" t="str">
        <f>"97-023"</f>
        <v>97-023</v>
      </c>
      <c r="C620" t="s">
        <v>733</v>
      </c>
      <c r="D620" s="327">
        <v>41275</v>
      </c>
    </row>
    <row r="621" spans="2:4" customFormat="1" hidden="1" x14ac:dyDescent="0.25">
      <c r="B621" s="4" t="str">
        <f>"97-028"</f>
        <v>97-028</v>
      </c>
      <c r="C621" t="s">
        <v>1084</v>
      </c>
      <c r="D621" s="327">
        <v>42005</v>
      </c>
    </row>
    <row r="622" spans="2:4" customFormat="1" hidden="1" x14ac:dyDescent="0.25">
      <c r="B622" s="4" t="str">
        <f>"97-033"</f>
        <v>97-033</v>
      </c>
      <c r="C622" t="s">
        <v>1085</v>
      </c>
      <c r="D622" s="327">
        <v>42005</v>
      </c>
    </row>
    <row r="623" spans="2:4" customFormat="1" hidden="1" x14ac:dyDescent="0.25">
      <c r="B623" s="4" t="str">
        <f>"97-034"</f>
        <v>97-034</v>
      </c>
      <c r="C623" t="s">
        <v>1086</v>
      </c>
      <c r="D623" s="327">
        <v>40909</v>
      </c>
    </row>
    <row r="624" spans="2:4" customFormat="1" hidden="1" x14ac:dyDescent="0.25">
      <c r="B624" s="4" t="str">
        <f>"97-035"</f>
        <v>97-035</v>
      </c>
      <c r="C624" t="s">
        <v>1087</v>
      </c>
      <c r="D624" s="327">
        <v>41275</v>
      </c>
    </row>
    <row r="625" spans="2:4" customFormat="1" hidden="1" x14ac:dyDescent="0.25">
      <c r="B625" s="4" t="str">
        <f>"97-036"</f>
        <v>97-036</v>
      </c>
      <c r="C625" t="s">
        <v>1088</v>
      </c>
      <c r="D625" s="327">
        <v>41275</v>
      </c>
    </row>
    <row r="626" spans="2:4" customFormat="1" hidden="1" x14ac:dyDescent="0.25">
      <c r="B626" s="4" t="str">
        <f>"97-038"</f>
        <v>97-038</v>
      </c>
      <c r="C626" t="s">
        <v>1089</v>
      </c>
      <c r="D626" s="327">
        <v>41640</v>
      </c>
    </row>
    <row r="627" spans="2:4" customFormat="1" hidden="1" x14ac:dyDescent="0.25">
      <c r="B627" s="4" t="str">
        <f>"97-050"</f>
        <v>97-050</v>
      </c>
      <c r="C627" t="s">
        <v>1090</v>
      </c>
      <c r="D627" s="327">
        <v>40909</v>
      </c>
    </row>
    <row r="628" spans="2:4" customFormat="1" hidden="1" x14ac:dyDescent="0.25">
      <c r="B628" s="4" t="str">
        <f>"97-051"</f>
        <v>97-051</v>
      </c>
      <c r="C628" t="s">
        <v>955</v>
      </c>
      <c r="D628" s="327">
        <v>42005</v>
      </c>
    </row>
    <row r="629" spans="2:4" customFormat="1" hidden="1" x14ac:dyDescent="0.25">
      <c r="B629" s="4" t="str">
        <f>"97-053"</f>
        <v>97-053</v>
      </c>
      <c r="C629" t="s">
        <v>1091</v>
      </c>
      <c r="D629" s="327">
        <v>41275</v>
      </c>
    </row>
    <row r="630" spans="2:4" customFormat="1" hidden="1" x14ac:dyDescent="0.25">
      <c r="B630" s="4" t="str">
        <f>"97-054"</f>
        <v>97-054</v>
      </c>
      <c r="C630" t="s">
        <v>1092</v>
      </c>
      <c r="D630" s="327">
        <v>41275</v>
      </c>
    </row>
    <row r="631" spans="2:4" customFormat="1" hidden="1" x14ac:dyDescent="0.25">
      <c r="B631" s="4" t="str">
        <f>"97-055"</f>
        <v>97-055</v>
      </c>
      <c r="C631" t="s">
        <v>957</v>
      </c>
      <c r="D631" s="327">
        <v>41275</v>
      </c>
    </row>
    <row r="632" spans="2:4" customFormat="1" hidden="1" x14ac:dyDescent="0.25">
      <c r="B632" s="4" t="str">
        <f>"97-056"</f>
        <v>97-056</v>
      </c>
      <c r="C632" t="s">
        <v>908</v>
      </c>
      <c r="D632" s="327">
        <v>41275</v>
      </c>
    </row>
    <row r="633" spans="2:4" customFormat="1" hidden="1" x14ac:dyDescent="0.25">
      <c r="B633" s="4" t="str">
        <f>"97-058"</f>
        <v>97-058</v>
      </c>
      <c r="C633" t="s">
        <v>1093</v>
      </c>
      <c r="D633" s="327">
        <v>42005</v>
      </c>
    </row>
    <row r="634" spans="2:4" customFormat="1" hidden="1" x14ac:dyDescent="0.25">
      <c r="B634" s="4" t="str">
        <f>"98-004"</f>
        <v>98-004</v>
      </c>
      <c r="C634" t="s">
        <v>1094</v>
      </c>
      <c r="D634" s="327">
        <v>41640</v>
      </c>
    </row>
    <row r="635" spans="2:4" customFormat="1" hidden="1" x14ac:dyDescent="0.25">
      <c r="B635" s="4" t="str">
        <f>"98-011"</f>
        <v>98-011</v>
      </c>
      <c r="C635" t="s">
        <v>1095</v>
      </c>
      <c r="D635" s="327">
        <v>41640</v>
      </c>
    </row>
    <row r="636" spans="2:4" customFormat="1" hidden="1" x14ac:dyDescent="0.25">
      <c r="B636" s="4" t="str">
        <f>"98-012"</f>
        <v>98-012</v>
      </c>
      <c r="C636" t="s">
        <v>919</v>
      </c>
      <c r="D636" s="327">
        <v>42005</v>
      </c>
    </row>
    <row r="637" spans="2:4" customFormat="1" hidden="1" x14ac:dyDescent="0.25">
      <c r="B637" s="4" t="str">
        <f>"98-017"</f>
        <v>98-017</v>
      </c>
      <c r="C637" t="s">
        <v>1096</v>
      </c>
      <c r="D637" s="327">
        <v>41640</v>
      </c>
    </row>
    <row r="638" spans="2:4" customFormat="1" hidden="1" x14ac:dyDescent="0.25">
      <c r="B638" s="4" t="str">
        <f>"98-018"</f>
        <v>98-018</v>
      </c>
      <c r="C638" t="s">
        <v>1097</v>
      </c>
      <c r="D638" s="327">
        <v>42370</v>
      </c>
    </row>
    <row r="639" spans="2:4" customFormat="1" hidden="1" x14ac:dyDescent="0.25">
      <c r="B639" s="4" t="str">
        <f>"98-019"</f>
        <v>98-019</v>
      </c>
      <c r="C639" t="s">
        <v>1098</v>
      </c>
      <c r="D639" s="327">
        <v>42005</v>
      </c>
    </row>
    <row r="640" spans="2:4" customFormat="1" hidden="1" x14ac:dyDescent="0.25">
      <c r="B640" s="4" t="str">
        <f>"98-020"</f>
        <v>98-020</v>
      </c>
      <c r="C640" t="s">
        <v>1099</v>
      </c>
      <c r="D640" s="327">
        <v>41640</v>
      </c>
    </row>
    <row r="641" spans="2:4" customFormat="1" hidden="1" x14ac:dyDescent="0.25">
      <c r="B641" s="4" t="str">
        <f>"98-021"</f>
        <v>98-021</v>
      </c>
      <c r="C641" t="s">
        <v>1100</v>
      </c>
      <c r="D641" s="327">
        <v>42005</v>
      </c>
    </row>
    <row r="642" spans="2:4" customFormat="1" hidden="1" x14ac:dyDescent="0.25">
      <c r="B642" s="4" t="str">
        <f>"98-022"</f>
        <v>98-022</v>
      </c>
      <c r="C642" t="s">
        <v>1101</v>
      </c>
      <c r="D642" s="327">
        <v>41640</v>
      </c>
    </row>
    <row r="643" spans="2:4" customFormat="1" hidden="1" x14ac:dyDescent="0.25">
      <c r="B643" s="4" t="str">
        <f>"98-023"</f>
        <v>98-023</v>
      </c>
      <c r="C643" t="s">
        <v>1102</v>
      </c>
      <c r="D643" s="327">
        <v>41640</v>
      </c>
    </row>
    <row r="644" spans="2:4" customFormat="1" hidden="1" x14ac:dyDescent="0.25">
      <c r="B644" s="4" t="str">
        <f>"98-025"</f>
        <v>98-025</v>
      </c>
      <c r="C644" t="s">
        <v>1103</v>
      </c>
      <c r="D644" s="327">
        <v>42005</v>
      </c>
    </row>
    <row r="645" spans="2:4" customFormat="1" hidden="1" x14ac:dyDescent="0.25">
      <c r="B645" s="4" t="str">
        <f>"98-030"</f>
        <v>98-030</v>
      </c>
      <c r="C645" t="s">
        <v>1104</v>
      </c>
      <c r="D645" s="327">
        <v>42005</v>
      </c>
    </row>
    <row r="646" spans="2:4" customFormat="1" hidden="1" x14ac:dyDescent="0.25">
      <c r="B646" s="4" t="str">
        <f>"98-034"</f>
        <v>98-034</v>
      </c>
      <c r="C646" t="s">
        <v>1105</v>
      </c>
      <c r="D646" s="327">
        <v>42005</v>
      </c>
    </row>
    <row r="647" spans="2:4" customFormat="1" hidden="1" x14ac:dyDescent="0.25">
      <c r="B647" s="4" t="str">
        <f>"98-051"</f>
        <v>98-051</v>
      </c>
      <c r="C647" t="s">
        <v>1106</v>
      </c>
      <c r="D647" s="327">
        <v>42370</v>
      </c>
    </row>
    <row r="648" spans="2:4" customFormat="1" hidden="1" x14ac:dyDescent="0.25">
      <c r="B648" s="4" t="str">
        <f>"98-053"</f>
        <v>98-053</v>
      </c>
      <c r="C648" t="s">
        <v>1107</v>
      </c>
      <c r="D648" s="327">
        <v>41640</v>
      </c>
    </row>
    <row r="649" spans="2:4" customFormat="1" hidden="1" x14ac:dyDescent="0.25">
      <c r="B649" s="4" t="str">
        <f>"98-065"</f>
        <v>98-065</v>
      </c>
      <c r="C649" t="s">
        <v>1108</v>
      </c>
      <c r="D649" s="327">
        <v>41640</v>
      </c>
    </row>
    <row r="650" spans="2:4" customFormat="1" hidden="1" x14ac:dyDescent="0.25">
      <c r="B650" s="4" t="str">
        <f>"99-001"</f>
        <v>99-001</v>
      </c>
      <c r="C650" t="s">
        <v>1109</v>
      </c>
      <c r="D650" s="327">
        <v>41640</v>
      </c>
    </row>
    <row r="651" spans="2:4" customFormat="1" hidden="1" x14ac:dyDescent="0.25">
      <c r="B651" s="4" t="str">
        <f>"99-002"</f>
        <v>99-002</v>
      </c>
      <c r="C651" t="s">
        <v>1110</v>
      </c>
      <c r="D651" s="327">
        <v>41640</v>
      </c>
    </row>
    <row r="652" spans="2:4" customFormat="1" hidden="1" x14ac:dyDescent="0.25">
      <c r="B652" s="4" t="str">
        <f>"99-003"</f>
        <v>99-003</v>
      </c>
      <c r="C652" t="s">
        <v>1100</v>
      </c>
      <c r="D652" s="327">
        <v>42005</v>
      </c>
    </row>
    <row r="653" spans="2:4" customFormat="1" hidden="1" x14ac:dyDescent="0.25">
      <c r="B653" s="4" t="str">
        <f>"99-009"</f>
        <v>99-009</v>
      </c>
      <c r="C653" t="s">
        <v>1111</v>
      </c>
      <c r="D653" s="327">
        <v>42370</v>
      </c>
    </row>
    <row r="654" spans="2:4" customFormat="1" hidden="1" x14ac:dyDescent="0.25">
      <c r="B654" s="4" t="str">
        <f>"99-013"</f>
        <v>99-013</v>
      </c>
      <c r="C654" t="s">
        <v>1104</v>
      </c>
      <c r="D654" s="327">
        <v>42005</v>
      </c>
    </row>
    <row r="655" spans="2:4" customFormat="1" hidden="1" x14ac:dyDescent="0.25">
      <c r="B655" s="4" t="str">
        <f>"99-014"</f>
        <v>99-014</v>
      </c>
      <c r="C655" t="s">
        <v>1112</v>
      </c>
      <c r="D655" s="327">
        <v>42370</v>
      </c>
    </row>
    <row r="656" spans="2:4" customFormat="1" hidden="1" x14ac:dyDescent="0.25">
      <c r="B656" s="4" t="str">
        <f>"99-026"</f>
        <v>99-026</v>
      </c>
      <c r="C656" t="s">
        <v>1113</v>
      </c>
      <c r="D656" s="327">
        <v>42005</v>
      </c>
    </row>
    <row r="657" spans="2:4" customFormat="1" hidden="1" x14ac:dyDescent="0.25">
      <c r="B657" s="4" t="str">
        <f>"99-027"</f>
        <v>99-027</v>
      </c>
      <c r="C657" t="s">
        <v>1114</v>
      </c>
      <c r="D657" s="327">
        <v>42005</v>
      </c>
    </row>
    <row r="658" spans="2:4" customFormat="1" hidden="1" x14ac:dyDescent="0.25">
      <c r="B658" s="4" t="str">
        <f>"99-028"</f>
        <v>99-028</v>
      </c>
      <c r="C658" t="s">
        <v>1115</v>
      </c>
      <c r="D658" s="327">
        <v>42005</v>
      </c>
    </row>
    <row r="659" spans="2:4" customFormat="1" hidden="1" x14ac:dyDescent="0.25">
      <c r="B659" s="4" t="str">
        <f>"99-035"</f>
        <v>99-035</v>
      </c>
      <c r="C659" t="s">
        <v>1116</v>
      </c>
      <c r="D659" s="327">
        <v>42005</v>
      </c>
    </row>
    <row r="660" spans="2:4" customFormat="1" hidden="1" x14ac:dyDescent="0.25">
      <c r="B660" s="4" t="str">
        <f>"99-042"</f>
        <v>99-042</v>
      </c>
      <c r="C660" t="s">
        <v>1117</v>
      </c>
      <c r="D660" s="327">
        <v>42736</v>
      </c>
    </row>
    <row r="661" spans="2:4" customFormat="1" hidden="1" x14ac:dyDescent="0.25">
      <c r="B661" s="4" t="str">
        <f>"99-043"</f>
        <v>99-043</v>
      </c>
      <c r="C661" t="s">
        <v>898</v>
      </c>
      <c r="D661" s="327">
        <v>42370</v>
      </c>
    </row>
    <row r="662" spans="2:4" customFormat="1" hidden="1" x14ac:dyDescent="0.25">
      <c r="B662" s="4" t="str">
        <f>"99-044"</f>
        <v>99-044</v>
      </c>
      <c r="C662" t="s">
        <v>438</v>
      </c>
      <c r="D662" s="4"/>
    </row>
    <row r="663" spans="2:4" customFormat="1" hidden="1" x14ac:dyDescent="0.25">
      <c r="B663" s="4" t="str">
        <f>"99-045"</f>
        <v>99-045</v>
      </c>
      <c r="C663" t="s">
        <v>721</v>
      </c>
      <c r="D663" s="327">
        <v>42005</v>
      </c>
    </row>
    <row r="664" spans="2:4" customFormat="1" hidden="1" x14ac:dyDescent="0.25">
      <c r="B664" s="4" t="str">
        <f>"99-046"</f>
        <v>99-046</v>
      </c>
      <c r="C664" t="s">
        <v>1118</v>
      </c>
      <c r="D664" s="327">
        <v>42370</v>
      </c>
    </row>
    <row r="665" spans="2:4" customFormat="1" hidden="1" x14ac:dyDescent="0.25">
      <c r="B665" s="4" t="str">
        <f>"99-047"</f>
        <v>99-047</v>
      </c>
      <c r="C665" t="s">
        <v>955</v>
      </c>
      <c r="D665" s="327">
        <v>42005</v>
      </c>
    </row>
    <row r="666" spans="2:4" customFormat="1" hidden="1" x14ac:dyDescent="0.25">
      <c r="B666" s="4" t="str">
        <f>"99-048"</f>
        <v>99-048</v>
      </c>
      <c r="C666" t="s">
        <v>1119</v>
      </c>
      <c r="D666" s="327">
        <v>42370</v>
      </c>
    </row>
    <row r="667" spans="2:4" customFormat="1" hidden="1" x14ac:dyDescent="0.25">
      <c r="B667" s="4" t="str">
        <f>"99-049"</f>
        <v>99-049</v>
      </c>
      <c r="C667" t="s">
        <v>1120</v>
      </c>
      <c r="D667" s="327">
        <v>42370</v>
      </c>
    </row>
    <row r="668" spans="2:4" customFormat="1" hidden="1" x14ac:dyDescent="0.25">
      <c r="B668" s="4" t="str">
        <f>"99-054"</f>
        <v>99-054</v>
      </c>
      <c r="C668" t="s">
        <v>1121</v>
      </c>
      <c r="D668" s="327">
        <v>42736</v>
      </c>
    </row>
    <row r="669" spans="2:4" customFormat="1" hidden="1" x14ac:dyDescent="0.25">
      <c r="B669" s="4" t="s">
        <v>1122</v>
      </c>
      <c r="C669" t="s">
        <v>1123</v>
      </c>
      <c r="D669" s="4"/>
    </row>
    <row r="670" spans="2:4" customFormat="1" hidden="1" x14ac:dyDescent="0.25">
      <c r="B670" s="4" t="s">
        <v>1124</v>
      </c>
      <c r="C670" t="s">
        <v>1125</v>
      </c>
      <c r="D670" s="4"/>
    </row>
    <row r="671" spans="2:4" customFormat="1" hidden="1" x14ac:dyDescent="0.25">
      <c r="B671" s="4" t="s">
        <v>1126</v>
      </c>
      <c r="C671" t="s">
        <v>1127</v>
      </c>
      <c r="D671" s="4"/>
    </row>
    <row r="672" spans="2:4" customFormat="1" hidden="1" x14ac:dyDescent="0.25">
      <c r="B672" s="4" t="s">
        <v>1128</v>
      </c>
      <c r="C672" t="s">
        <v>1129</v>
      </c>
      <c r="D672" s="4"/>
    </row>
    <row r="673" spans="2:4" customFormat="1" hidden="1" x14ac:dyDescent="0.25">
      <c r="B673" s="4" t="s">
        <v>1130</v>
      </c>
      <c r="C673" t="s">
        <v>1131</v>
      </c>
      <c r="D673" s="4"/>
    </row>
    <row r="674" spans="2:4" customFormat="1" hidden="1" x14ac:dyDescent="0.25">
      <c r="B674" s="4" t="s">
        <v>1132</v>
      </c>
      <c r="C674" t="s">
        <v>1133</v>
      </c>
      <c r="D674" s="327">
        <v>43466</v>
      </c>
    </row>
    <row r="675" spans="2:4" customFormat="1" hidden="1" x14ac:dyDescent="0.25">
      <c r="B675" s="4" t="s">
        <v>1134</v>
      </c>
      <c r="C675" t="s">
        <v>1135</v>
      </c>
      <c r="D675" s="4"/>
    </row>
    <row r="676" spans="2:4" customFormat="1" hidden="1" x14ac:dyDescent="0.25">
      <c r="B676" s="4" t="s">
        <v>1136</v>
      </c>
      <c r="C676" t="s">
        <v>1137</v>
      </c>
      <c r="D676" s="4"/>
    </row>
    <row r="677" spans="2:4" customFormat="1" hidden="1" x14ac:dyDescent="0.25">
      <c r="B677" s="4" t="s">
        <v>1138</v>
      </c>
      <c r="C677" t="s">
        <v>1139</v>
      </c>
      <c r="D677" s="4"/>
    </row>
    <row r="678" spans="2:4" customFormat="1" hidden="1" x14ac:dyDescent="0.25">
      <c r="B678" s="4" t="s">
        <v>1140</v>
      </c>
      <c r="C678" t="s">
        <v>1141</v>
      </c>
      <c r="D678" s="4"/>
    </row>
    <row r="679" spans="2:4" customFormat="1" hidden="1" x14ac:dyDescent="0.25">
      <c r="B679" s="4" t="s">
        <v>1142</v>
      </c>
      <c r="C679" t="s">
        <v>1143</v>
      </c>
      <c r="D679" s="4"/>
    </row>
    <row r="680" spans="2:4" customFormat="1" hidden="1" x14ac:dyDescent="0.25">
      <c r="B680" s="4" t="s">
        <v>1144</v>
      </c>
      <c r="C680" t="s">
        <v>1145</v>
      </c>
      <c r="D680" s="4"/>
    </row>
    <row r="681" spans="2:4" customFormat="1" hidden="1" x14ac:dyDescent="0.25">
      <c r="B681" s="4" t="s">
        <v>1146</v>
      </c>
      <c r="C681" t="s">
        <v>1147</v>
      </c>
      <c r="D681" s="4"/>
    </row>
    <row r="682" spans="2:4" customFormat="1" hidden="1" x14ac:dyDescent="0.25">
      <c r="B682" s="4" t="s">
        <v>1148</v>
      </c>
      <c r="C682" t="s">
        <v>1149</v>
      </c>
      <c r="D682" s="4"/>
    </row>
    <row r="683" spans="2:4" customFormat="1" hidden="1" x14ac:dyDescent="0.25">
      <c r="B683" s="4" t="s">
        <v>1150</v>
      </c>
      <c r="C683" t="s">
        <v>1151</v>
      </c>
      <c r="D683" s="4"/>
    </row>
    <row r="684" spans="2:4" customFormat="1" hidden="1" x14ac:dyDescent="0.25">
      <c r="B684" s="4" t="s">
        <v>1152</v>
      </c>
      <c r="C684" t="s">
        <v>1153</v>
      </c>
      <c r="D684" s="4"/>
    </row>
    <row r="685" spans="2:4" customFormat="1" hidden="1" x14ac:dyDescent="0.25">
      <c r="B685" s="4" t="s">
        <v>1154</v>
      </c>
      <c r="C685" t="s">
        <v>1155</v>
      </c>
      <c r="D685" s="4"/>
    </row>
    <row r="686" spans="2:4" customFormat="1" hidden="1" x14ac:dyDescent="0.25">
      <c r="B686" s="4" t="s">
        <v>1156</v>
      </c>
      <c r="C686" t="s">
        <v>1157</v>
      </c>
      <c r="D686" s="4"/>
    </row>
    <row r="687" spans="2:4" customFormat="1" hidden="1" x14ac:dyDescent="0.25">
      <c r="B687" s="4" t="s">
        <v>1158</v>
      </c>
      <c r="C687" t="s">
        <v>1159</v>
      </c>
      <c r="D687" s="4"/>
    </row>
    <row r="688" spans="2:4" customFormat="1" hidden="1" x14ac:dyDescent="0.25">
      <c r="B688" s="4" t="s">
        <v>1160</v>
      </c>
      <c r="C688" t="s">
        <v>1161</v>
      </c>
      <c r="D688" s="4"/>
    </row>
    <row r="689" spans="2:4" customFormat="1" hidden="1" x14ac:dyDescent="0.25">
      <c r="B689" s="4" t="s">
        <v>1162</v>
      </c>
      <c r="C689" t="s">
        <v>1163</v>
      </c>
      <c r="D689" s="4"/>
    </row>
    <row r="690" spans="2:4" customFormat="1" hidden="1" x14ac:dyDescent="0.25">
      <c r="B690" s="4" t="s">
        <v>1164</v>
      </c>
      <c r="C690" t="s">
        <v>1165</v>
      </c>
      <c r="D690" s="4"/>
    </row>
    <row r="691" spans="2:4" customFormat="1" hidden="1" x14ac:dyDescent="0.25">
      <c r="B691" s="4" t="s">
        <v>1166</v>
      </c>
      <c r="C691" t="s">
        <v>1167</v>
      </c>
      <c r="D691" s="4"/>
    </row>
    <row r="692" spans="2:4" customFormat="1" hidden="1" x14ac:dyDescent="0.25">
      <c r="B692" s="4" t="s">
        <v>1168</v>
      </c>
      <c r="C692" t="s">
        <v>1169</v>
      </c>
      <c r="D692" s="4"/>
    </row>
    <row r="693" spans="2:4" customFormat="1" hidden="1" x14ac:dyDescent="0.25">
      <c r="B693" s="4" t="s">
        <v>1170</v>
      </c>
      <c r="C693" t="s">
        <v>1171</v>
      </c>
      <c r="D693" s="4"/>
    </row>
    <row r="694" spans="2:4" customFormat="1" hidden="1" x14ac:dyDescent="0.25">
      <c r="B694" s="4" t="s">
        <v>1172</v>
      </c>
      <c r="C694" t="s">
        <v>1173</v>
      </c>
      <c r="D694" s="4"/>
    </row>
    <row r="695" spans="2:4" customFormat="1" hidden="1" x14ac:dyDescent="0.25">
      <c r="B695" s="4" t="s">
        <v>1174</v>
      </c>
      <c r="C695" t="s">
        <v>1175</v>
      </c>
      <c r="D695" s="4"/>
    </row>
    <row r="696" spans="2:4" customFormat="1" hidden="1" x14ac:dyDescent="0.25">
      <c r="B696" s="4" t="s">
        <v>1176</v>
      </c>
      <c r="C696" t="s">
        <v>1177</v>
      </c>
      <c r="D696" s="4"/>
    </row>
    <row r="697" spans="2:4" customFormat="1" hidden="1" x14ac:dyDescent="0.25">
      <c r="B697" s="4" t="s">
        <v>1178</v>
      </c>
      <c r="C697" t="s">
        <v>1179</v>
      </c>
      <c r="D697" s="4"/>
    </row>
    <row r="698" spans="2:4" customFormat="1" hidden="1" x14ac:dyDescent="0.25">
      <c r="B698" s="4" t="s">
        <v>1180</v>
      </c>
      <c r="C698" t="s">
        <v>1181</v>
      </c>
      <c r="D698" s="4"/>
    </row>
    <row r="699" spans="2:4" customFormat="1" hidden="1" x14ac:dyDescent="0.25">
      <c r="B699" s="4" t="s">
        <v>1182</v>
      </c>
      <c r="C699" t="s">
        <v>1183</v>
      </c>
      <c r="D699" s="4"/>
    </row>
    <row r="700" spans="2:4" customFormat="1" hidden="1" x14ac:dyDescent="0.25">
      <c r="B700" s="4" t="s">
        <v>1184</v>
      </c>
      <c r="C700" t="s">
        <v>1185</v>
      </c>
      <c r="D700" s="4"/>
    </row>
    <row r="701" spans="2:4" customFormat="1" hidden="1" x14ac:dyDescent="0.25">
      <c r="B701" s="4" t="s">
        <v>1186</v>
      </c>
      <c r="C701" t="s">
        <v>1187</v>
      </c>
      <c r="D701" s="4"/>
    </row>
    <row r="702" spans="2:4" customFormat="1" hidden="1" x14ac:dyDescent="0.25">
      <c r="B702" s="4" t="s">
        <v>1188</v>
      </c>
      <c r="C702" t="s">
        <v>1189</v>
      </c>
      <c r="D702" s="4"/>
    </row>
    <row r="703" spans="2:4" customFormat="1" hidden="1" x14ac:dyDescent="0.25">
      <c r="B703" s="4" t="s">
        <v>1190</v>
      </c>
      <c r="C703" t="s">
        <v>1191</v>
      </c>
      <c r="D703" s="4"/>
    </row>
    <row r="704" spans="2:4" customFormat="1" hidden="1" x14ac:dyDescent="0.25">
      <c r="B704" s="4" t="s">
        <v>1192</v>
      </c>
      <c r="C704" t="s">
        <v>1193</v>
      </c>
      <c r="D704" s="4"/>
    </row>
    <row r="705" spans="2:4" customFormat="1" hidden="1" x14ac:dyDescent="0.25">
      <c r="B705" s="4" t="s">
        <v>1194</v>
      </c>
      <c r="C705" t="s">
        <v>1195</v>
      </c>
      <c r="D705" s="4"/>
    </row>
    <row r="706" spans="2:4" customFormat="1" hidden="1" x14ac:dyDescent="0.25">
      <c r="B706" s="4" t="s">
        <v>1196</v>
      </c>
      <c r="C706" t="s">
        <v>438</v>
      </c>
      <c r="D706" s="4"/>
    </row>
    <row r="707" spans="2:4" customFormat="1" hidden="1" x14ac:dyDescent="0.25">
      <c r="B707" s="4" t="s">
        <v>1197</v>
      </c>
      <c r="C707" t="s">
        <v>1198</v>
      </c>
      <c r="D707" s="4"/>
    </row>
    <row r="708" spans="2:4" customFormat="1" hidden="1" x14ac:dyDescent="0.25">
      <c r="B708" s="4" t="s">
        <v>1199</v>
      </c>
      <c r="C708" t="s">
        <v>1200</v>
      </c>
      <c r="D708" s="4"/>
    </row>
    <row r="709" spans="2:4" customFormat="1" hidden="1" x14ac:dyDescent="0.25">
      <c r="B709" s="4" t="s">
        <v>1201</v>
      </c>
      <c r="C709" t="s">
        <v>1202</v>
      </c>
      <c r="D709" s="4"/>
    </row>
    <row r="710" spans="2:4" customFormat="1" hidden="1" x14ac:dyDescent="0.25">
      <c r="B710" s="4" t="s">
        <v>1203</v>
      </c>
      <c r="C710" t="s">
        <v>1204</v>
      </c>
      <c r="D710" s="4"/>
    </row>
    <row r="711" spans="2:4" customFormat="1" hidden="1" x14ac:dyDescent="0.25">
      <c r="B711" s="4" t="s">
        <v>1205</v>
      </c>
      <c r="C711" t="s">
        <v>1206</v>
      </c>
      <c r="D711" s="4"/>
    </row>
    <row r="712" spans="2:4" customFormat="1" hidden="1" x14ac:dyDescent="0.25">
      <c r="B712" s="4" t="s">
        <v>1207</v>
      </c>
      <c r="C712" t="s">
        <v>1208</v>
      </c>
      <c r="D712" s="4"/>
    </row>
    <row r="713" spans="2:4" customFormat="1" hidden="1" x14ac:dyDescent="0.25">
      <c r="B713" s="4" t="s">
        <v>1209</v>
      </c>
      <c r="C713" t="s">
        <v>1210</v>
      </c>
      <c r="D713" s="4"/>
    </row>
    <row r="714" spans="2:4" customFormat="1" hidden="1" x14ac:dyDescent="0.25">
      <c r="B714" s="4" t="s">
        <v>1211</v>
      </c>
      <c r="C714" t="s">
        <v>1212</v>
      </c>
      <c r="D714" s="4"/>
    </row>
    <row r="715" spans="2:4" customFormat="1" hidden="1" x14ac:dyDescent="0.25">
      <c r="B715" s="4" t="s">
        <v>1213</v>
      </c>
      <c r="C715" t="s">
        <v>1214</v>
      </c>
      <c r="D715" s="4"/>
    </row>
    <row r="716" spans="2:4" customFormat="1" hidden="1" x14ac:dyDescent="0.25">
      <c r="B716" s="4" t="s">
        <v>1215</v>
      </c>
      <c r="C716" t="s">
        <v>1216</v>
      </c>
      <c r="D716" s="4"/>
    </row>
    <row r="717" spans="2:4" customFormat="1" hidden="1" x14ac:dyDescent="0.25">
      <c r="B717" s="4" t="s">
        <v>1217</v>
      </c>
      <c r="C717" t="s">
        <v>1218</v>
      </c>
      <c r="D717" s="4"/>
    </row>
    <row r="718" spans="2:4" x14ac:dyDescent="0.25">
      <c r="B718" s="330" t="s">
        <v>1249</v>
      </c>
      <c r="C718" s="371" t="s">
        <v>494</v>
      </c>
      <c r="D718" s="330" t="s">
        <v>1250</v>
      </c>
    </row>
    <row r="719" spans="2:4" x14ac:dyDescent="0.25">
      <c r="B719" s="330" t="s">
        <v>1251</v>
      </c>
      <c r="C719" s="371" t="s">
        <v>1308</v>
      </c>
      <c r="D719" s="330" t="s">
        <v>1250</v>
      </c>
    </row>
    <row r="720" spans="2:4" x14ac:dyDescent="0.25">
      <c r="B720" s="330" t="s">
        <v>1252</v>
      </c>
      <c r="C720" s="371" t="s">
        <v>1309</v>
      </c>
      <c r="D720" s="330" t="s">
        <v>1250</v>
      </c>
    </row>
    <row r="721" spans="2:4" x14ac:dyDescent="0.25">
      <c r="B721" s="330" t="s">
        <v>1253</v>
      </c>
      <c r="C721" s="371" t="s">
        <v>520</v>
      </c>
      <c r="D721" s="330" t="s">
        <v>1250</v>
      </c>
    </row>
    <row r="722" spans="2:4" x14ac:dyDescent="0.25">
      <c r="B722" s="330" t="s">
        <v>1254</v>
      </c>
      <c r="C722" s="371" t="s">
        <v>1310</v>
      </c>
      <c r="D722" s="330" t="s">
        <v>1250</v>
      </c>
    </row>
    <row r="723" spans="2:4" x14ac:dyDescent="0.25">
      <c r="B723" s="330" t="s">
        <v>1255</v>
      </c>
      <c r="C723" s="371" t="s">
        <v>530</v>
      </c>
      <c r="D723" s="330" t="s">
        <v>1250</v>
      </c>
    </row>
    <row r="724" spans="2:4" x14ac:dyDescent="0.25">
      <c r="B724" s="330" t="s">
        <v>1256</v>
      </c>
      <c r="C724" s="371" t="s">
        <v>1311</v>
      </c>
      <c r="D724" s="330" t="s">
        <v>1250</v>
      </c>
    </row>
    <row r="725" spans="2:4" x14ac:dyDescent="0.25">
      <c r="B725" s="330" t="s">
        <v>1257</v>
      </c>
      <c r="C725" s="371" t="s">
        <v>1312</v>
      </c>
      <c r="D725" s="330" t="s">
        <v>1250</v>
      </c>
    </row>
    <row r="726" spans="2:4" x14ac:dyDescent="0.25">
      <c r="B726" s="330" t="s">
        <v>1258</v>
      </c>
      <c r="C726" s="371" t="s">
        <v>533</v>
      </c>
      <c r="D726" s="330" t="s">
        <v>1250</v>
      </c>
    </row>
    <row r="727" spans="2:4" x14ac:dyDescent="0.25">
      <c r="B727" s="330" t="s">
        <v>1259</v>
      </c>
      <c r="C727" s="371" t="s">
        <v>1313</v>
      </c>
      <c r="D727" s="330" t="s">
        <v>1250</v>
      </c>
    </row>
    <row r="728" spans="2:4" x14ac:dyDescent="0.25">
      <c r="B728" s="330" t="s">
        <v>1260</v>
      </c>
      <c r="C728" s="371" t="s">
        <v>1314</v>
      </c>
      <c r="D728" s="330" t="s">
        <v>1250</v>
      </c>
    </row>
    <row r="729" spans="2:4" x14ac:dyDescent="0.25">
      <c r="B729" s="330" t="s">
        <v>1261</v>
      </c>
      <c r="C729" s="371" t="s">
        <v>1315</v>
      </c>
      <c r="D729" s="330" t="s">
        <v>1250</v>
      </c>
    </row>
    <row r="730" spans="2:4" x14ac:dyDescent="0.25">
      <c r="B730" s="330" t="s">
        <v>1262</v>
      </c>
      <c r="C730" s="371" t="s">
        <v>539</v>
      </c>
      <c r="D730" s="330" t="s">
        <v>1250</v>
      </c>
    </row>
    <row r="731" spans="2:4" x14ac:dyDescent="0.25">
      <c r="B731" s="330" t="s">
        <v>1263</v>
      </c>
      <c r="C731" s="371" t="s">
        <v>540</v>
      </c>
      <c r="D731" s="330" t="s">
        <v>1250</v>
      </c>
    </row>
    <row r="732" spans="2:4" x14ac:dyDescent="0.25">
      <c r="B732" s="330" t="s">
        <v>1264</v>
      </c>
      <c r="C732" s="371" t="s">
        <v>1316</v>
      </c>
      <c r="D732" s="330" t="s">
        <v>1250</v>
      </c>
    </row>
    <row r="733" spans="2:4" x14ac:dyDescent="0.25">
      <c r="B733" s="330" t="s">
        <v>1265</v>
      </c>
      <c r="C733" s="371" t="s">
        <v>1317</v>
      </c>
      <c r="D733" s="330" t="s">
        <v>1250</v>
      </c>
    </row>
    <row r="734" spans="2:4" x14ac:dyDescent="0.25">
      <c r="B734" s="330" t="s">
        <v>1266</v>
      </c>
      <c r="C734" s="371" t="s">
        <v>543</v>
      </c>
      <c r="D734" s="330" t="s">
        <v>1250</v>
      </c>
    </row>
    <row r="735" spans="2:4" x14ac:dyDescent="0.25">
      <c r="B735" s="330" t="s">
        <v>1267</v>
      </c>
      <c r="C735" s="371" t="s">
        <v>544</v>
      </c>
      <c r="D735" s="330" t="s">
        <v>1250</v>
      </c>
    </row>
    <row r="736" spans="2:4" x14ac:dyDescent="0.25">
      <c r="B736" s="330" t="s">
        <v>1268</v>
      </c>
      <c r="C736" s="371" t="s">
        <v>1318</v>
      </c>
      <c r="D736" s="330" t="s">
        <v>1250</v>
      </c>
    </row>
    <row r="737" spans="2:4" x14ac:dyDescent="0.25">
      <c r="B737" s="330" t="s">
        <v>547</v>
      </c>
      <c r="C737" s="371" t="s">
        <v>548</v>
      </c>
      <c r="D737" s="330" t="s">
        <v>1250</v>
      </c>
    </row>
    <row r="738" spans="2:4" x14ac:dyDescent="0.25">
      <c r="B738" s="330" t="s">
        <v>1269</v>
      </c>
      <c r="C738" s="371" t="s">
        <v>550</v>
      </c>
      <c r="D738" s="330" t="s">
        <v>1250</v>
      </c>
    </row>
    <row r="739" spans="2:4" x14ac:dyDescent="0.25">
      <c r="B739" s="330" t="s">
        <v>1270</v>
      </c>
      <c r="C739" s="371" t="s">
        <v>554</v>
      </c>
      <c r="D739" s="330" t="s">
        <v>1250</v>
      </c>
    </row>
    <row r="740" spans="2:4" x14ac:dyDescent="0.25">
      <c r="B740" s="330" t="s">
        <v>1271</v>
      </c>
      <c r="C740" s="371" t="s">
        <v>555</v>
      </c>
      <c r="D740" s="330" t="s">
        <v>1250</v>
      </c>
    </row>
    <row r="741" spans="2:4" x14ac:dyDescent="0.25">
      <c r="B741" s="330" t="s">
        <v>1272</v>
      </c>
      <c r="C741" s="371" t="s">
        <v>556</v>
      </c>
      <c r="D741" s="330" t="s">
        <v>1250</v>
      </c>
    </row>
    <row r="742" spans="2:4" x14ac:dyDescent="0.25">
      <c r="B742" s="330" t="s">
        <v>1273</v>
      </c>
      <c r="C742" s="371" t="s">
        <v>557</v>
      </c>
      <c r="D742" s="330" t="s">
        <v>1250</v>
      </c>
    </row>
    <row r="743" spans="2:4" x14ac:dyDescent="0.25">
      <c r="B743" s="330" t="s">
        <v>1274</v>
      </c>
      <c r="C743" s="371" t="s">
        <v>558</v>
      </c>
      <c r="D743" s="330" t="s">
        <v>1250</v>
      </c>
    </row>
    <row r="744" spans="2:4" x14ac:dyDescent="0.25">
      <c r="B744" s="330" t="s">
        <v>1275</v>
      </c>
      <c r="C744" s="371" t="s">
        <v>559</v>
      </c>
      <c r="D744" s="330" t="s">
        <v>1250</v>
      </c>
    </row>
    <row r="745" spans="2:4" x14ac:dyDescent="0.25">
      <c r="B745" s="330" t="s">
        <v>1276</v>
      </c>
      <c r="C745" s="371" t="s">
        <v>560</v>
      </c>
      <c r="D745" s="330" t="s">
        <v>1250</v>
      </c>
    </row>
    <row r="746" spans="2:4" x14ac:dyDescent="0.25">
      <c r="B746" s="330" t="s">
        <v>1277</v>
      </c>
      <c r="C746" s="371" t="s">
        <v>564</v>
      </c>
      <c r="D746" s="330" t="s">
        <v>1250</v>
      </c>
    </row>
    <row r="747" spans="2:4" x14ac:dyDescent="0.25">
      <c r="B747" s="330" t="s">
        <v>1278</v>
      </c>
      <c r="C747" s="371" t="s">
        <v>565</v>
      </c>
      <c r="D747" s="330" t="s">
        <v>1250</v>
      </c>
    </row>
    <row r="748" spans="2:4" x14ac:dyDescent="0.25">
      <c r="B748" s="330" t="s">
        <v>1279</v>
      </c>
      <c r="C748" s="371" t="s">
        <v>567</v>
      </c>
      <c r="D748" s="330" t="s">
        <v>1250</v>
      </c>
    </row>
    <row r="749" spans="2:4" x14ac:dyDescent="0.25">
      <c r="B749" s="330" t="s">
        <v>1280</v>
      </c>
      <c r="C749" s="371" t="s">
        <v>571</v>
      </c>
      <c r="D749" s="330" t="s">
        <v>1250</v>
      </c>
    </row>
    <row r="750" spans="2:4" x14ac:dyDescent="0.25">
      <c r="B750" s="330" t="s">
        <v>1281</v>
      </c>
      <c r="C750" s="371" t="s">
        <v>572</v>
      </c>
      <c r="D750" s="330" t="s">
        <v>1250</v>
      </c>
    </row>
    <row r="751" spans="2:4" x14ac:dyDescent="0.25">
      <c r="B751" s="330" t="s">
        <v>1282</v>
      </c>
      <c r="C751" s="371" t="s">
        <v>574</v>
      </c>
      <c r="D751" s="330" t="s">
        <v>1250</v>
      </c>
    </row>
    <row r="752" spans="2:4" x14ac:dyDescent="0.25">
      <c r="B752" s="330" t="s">
        <v>1283</v>
      </c>
      <c r="C752" s="371" t="s">
        <v>576</v>
      </c>
      <c r="D752" s="330" t="s">
        <v>1250</v>
      </c>
    </row>
    <row r="753" spans="2:4" x14ac:dyDescent="0.25">
      <c r="B753" s="330" t="s">
        <v>1284</v>
      </c>
      <c r="C753" s="371" t="s">
        <v>1319</v>
      </c>
      <c r="D753" s="330" t="s">
        <v>1250</v>
      </c>
    </row>
    <row r="754" spans="2:4" x14ac:dyDescent="0.25">
      <c r="B754" s="330" t="s">
        <v>1285</v>
      </c>
      <c r="C754" s="371" t="s">
        <v>1320</v>
      </c>
      <c r="D754" s="330" t="s">
        <v>1250</v>
      </c>
    </row>
    <row r="755" spans="2:4" x14ac:dyDescent="0.25">
      <c r="B755" s="330" t="s">
        <v>1286</v>
      </c>
      <c r="C755" s="371" t="s">
        <v>579</v>
      </c>
      <c r="D755" s="330" t="s">
        <v>1250</v>
      </c>
    </row>
    <row r="756" spans="2:4" x14ac:dyDescent="0.25">
      <c r="B756" s="330" t="s">
        <v>1287</v>
      </c>
      <c r="C756" s="371" t="s">
        <v>1321</v>
      </c>
      <c r="D756" s="330" t="s">
        <v>1250</v>
      </c>
    </row>
    <row r="757" spans="2:4" x14ac:dyDescent="0.25">
      <c r="B757" s="330" t="s">
        <v>1288</v>
      </c>
      <c r="C757" s="371" t="s">
        <v>584</v>
      </c>
      <c r="D757" s="330" t="s">
        <v>1250</v>
      </c>
    </row>
    <row r="758" spans="2:4" x14ac:dyDescent="0.25">
      <c r="B758" s="330" t="s">
        <v>1289</v>
      </c>
      <c r="C758" s="371" t="s">
        <v>585</v>
      </c>
      <c r="D758" s="330" t="s">
        <v>1250</v>
      </c>
    </row>
    <row r="759" spans="2:4" x14ac:dyDescent="0.25">
      <c r="B759" s="330" t="s">
        <v>1290</v>
      </c>
      <c r="C759" s="371" t="s">
        <v>590</v>
      </c>
      <c r="D759" s="330" t="s">
        <v>1250</v>
      </c>
    </row>
    <row r="760" spans="2:4" x14ac:dyDescent="0.25">
      <c r="B760" s="330" t="s">
        <v>595</v>
      </c>
      <c r="C760" s="371" t="s">
        <v>596</v>
      </c>
      <c r="D760" s="330" t="s">
        <v>1250</v>
      </c>
    </row>
    <row r="761" spans="2:4" x14ac:dyDescent="0.25">
      <c r="B761" s="330" t="s">
        <v>597</v>
      </c>
      <c r="C761" s="371" t="s">
        <v>598</v>
      </c>
      <c r="D761" s="330" t="s">
        <v>1250</v>
      </c>
    </row>
    <row r="762" spans="2:4" x14ac:dyDescent="0.25">
      <c r="B762" s="330" t="s">
        <v>603</v>
      </c>
      <c r="C762" s="371" t="s">
        <v>604</v>
      </c>
      <c r="D762" s="330" t="s">
        <v>1250</v>
      </c>
    </row>
    <row r="763" spans="2:4" x14ac:dyDescent="0.25">
      <c r="B763" s="330" t="s">
        <v>605</v>
      </c>
      <c r="C763" s="371" t="s">
        <v>606</v>
      </c>
      <c r="D763" s="330" t="s">
        <v>1250</v>
      </c>
    </row>
    <row r="764" spans="2:4" ht="5.25" customHeight="1" thickBot="1" x14ac:dyDescent="0.3">
      <c r="B764" s="368"/>
      <c r="C764" s="369"/>
      <c r="D764" s="370"/>
    </row>
    <row r="765" spans="2:4" ht="30.75" customHeight="1" thickTop="1" x14ac:dyDescent="0.25">
      <c r="B765" s="896" t="s">
        <v>1346</v>
      </c>
      <c r="C765" s="896"/>
      <c r="D765" s="896"/>
    </row>
  </sheetData>
  <sheetProtection algorithmName="SHA-512" hashValue="naL/daXgHcc/nNw0/OQuAmjm+0QVXkxc7lYV2B855C8FoWUS6Kdq294Abkiux39+tmBmKZMrLXDn+MRTHWQ63w==" saltValue="UBckXHE0Q2jLZCxVKK7/KA==" spinCount="100000" sheet="1" objects="1" scenarios="1" selectLockedCells="1" selectUnlockedCells="1"/>
  <autoFilter ref="B4:D717" xr:uid="{66A64EA6-A4DF-495E-A6C3-63171BEF7A15}">
    <filterColumn colId="2">
      <filters>
        <dateGroupItem year="2023" dateTimeGrouping="year"/>
      </filters>
    </filterColumn>
  </autoFilter>
  <mergeCells count="5">
    <mergeCell ref="B765:D765"/>
    <mergeCell ref="B3:D3"/>
    <mergeCell ref="B2:D2"/>
    <mergeCell ref="F87:I131"/>
    <mergeCell ref="F3:I4"/>
  </mergeCells>
  <printOptions horizontalCentered="1"/>
  <pageMargins left="0.7" right="0.7" top="1" bottom="0.75" header="0.3" footer="0.3"/>
  <pageSetup orientation="portrait" r:id="rId1"/>
  <headerFooter>
    <oddHeader xml:space="preserve">&amp;CMississippi Home Corporation
 2025 AOC REPORT - REQUIRED EUP DEVELOPMENT REPORTERS LIST
</oddHeader>
    <oddFooter>&amp;R
&amp;10MHC Rev. 03/2025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C00000"/>
  </sheetPr>
  <dimension ref="B2:D19"/>
  <sheetViews>
    <sheetView showGridLines="0" zoomScaleNormal="100" workbookViewId="0">
      <selection activeCell="C9" sqref="C9"/>
    </sheetView>
  </sheetViews>
  <sheetFormatPr defaultColWidth="8.85546875" defaultRowHeight="15" x14ac:dyDescent="0.25"/>
  <cols>
    <col min="1" max="1" width="36.7109375" style="3" customWidth="1"/>
    <col min="2" max="2" width="32.28515625" style="3" customWidth="1"/>
    <col min="3" max="3" width="71.28515625" style="3" customWidth="1"/>
    <col min="4" max="4" width="40.85546875" style="3" customWidth="1"/>
    <col min="5" max="16384" width="8.85546875" style="3"/>
  </cols>
  <sheetData>
    <row r="2" spans="2:4" x14ac:dyDescent="0.25">
      <c r="B2"/>
      <c r="C2"/>
      <c r="D2"/>
    </row>
    <row r="3" spans="2:4" x14ac:dyDescent="0.25">
      <c r="B3" s="393" t="s">
        <v>59</v>
      </c>
      <c r="C3" s="393"/>
      <c r="D3" s="393"/>
    </row>
    <row r="4" spans="2:4" ht="18.75" x14ac:dyDescent="0.4">
      <c r="B4" s="907" t="s">
        <v>60</v>
      </c>
      <c r="C4" s="907"/>
      <c r="D4" s="907"/>
    </row>
    <row r="5" spans="2:4" ht="15.75" thickBot="1" x14ac:dyDescent="0.3">
      <c r="B5"/>
      <c r="C5"/>
      <c r="D5"/>
    </row>
    <row r="6" spans="2:4" ht="60" customHeight="1" x14ac:dyDescent="0.25">
      <c r="B6" s="196" t="s">
        <v>61</v>
      </c>
      <c r="C6" s="197" t="s">
        <v>62</v>
      </c>
      <c r="D6" s="198" t="s">
        <v>63</v>
      </c>
    </row>
    <row r="7" spans="2:4" ht="55.15" customHeight="1" x14ac:dyDescent="0.25">
      <c r="B7" s="189" t="s">
        <v>64</v>
      </c>
      <c r="C7" s="190" t="s">
        <v>65</v>
      </c>
      <c r="D7" s="191" t="s">
        <v>66</v>
      </c>
    </row>
    <row r="8" spans="2:4" ht="55.15" customHeight="1" x14ac:dyDescent="0.25">
      <c r="B8" s="189" t="s">
        <v>67</v>
      </c>
      <c r="C8" s="190" t="s">
        <v>68</v>
      </c>
      <c r="D8" s="191" t="s">
        <v>69</v>
      </c>
    </row>
    <row r="9" spans="2:4" ht="55.15" customHeight="1" x14ac:dyDescent="0.25">
      <c r="B9" s="189" t="s">
        <v>70</v>
      </c>
      <c r="C9" s="190" t="s">
        <v>71</v>
      </c>
      <c r="D9" s="191" t="s">
        <v>72</v>
      </c>
    </row>
    <row r="10" spans="2:4" ht="55.15" customHeight="1" x14ac:dyDescent="0.25">
      <c r="B10" s="904" t="s">
        <v>73</v>
      </c>
      <c r="C10" s="905" t="s">
        <v>74</v>
      </c>
      <c r="D10" s="906" t="s">
        <v>75</v>
      </c>
    </row>
    <row r="11" spans="2:4" ht="10.9" customHeight="1" x14ac:dyDescent="0.25">
      <c r="B11" s="904"/>
      <c r="C11" s="905"/>
      <c r="D11" s="906"/>
    </row>
    <row r="12" spans="2:4" ht="55.15" customHeight="1" x14ac:dyDescent="0.25">
      <c r="B12" s="189" t="s">
        <v>76</v>
      </c>
      <c r="C12" s="190" t="s">
        <v>77</v>
      </c>
      <c r="D12" s="191" t="s">
        <v>78</v>
      </c>
    </row>
    <row r="13" spans="2:4" ht="55.15" customHeight="1" x14ac:dyDescent="0.25">
      <c r="B13" s="189" t="s">
        <v>79</v>
      </c>
      <c r="C13" s="190" t="s">
        <v>80</v>
      </c>
      <c r="D13" s="191" t="s">
        <v>81</v>
      </c>
    </row>
    <row r="14" spans="2:4" ht="55.15" customHeight="1" x14ac:dyDescent="0.25">
      <c r="B14" s="189" t="s">
        <v>82</v>
      </c>
      <c r="C14" s="190" t="s">
        <v>83</v>
      </c>
      <c r="D14" s="191" t="s">
        <v>20</v>
      </c>
    </row>
    <row r="15" spans="2:4" ht="55.15" customHeight="1" x14ac:dyDescent="0.25">
      <c r="B15" s="189" t="s">
        <v>84</v>
      </c>
      <c r="C15" s="190" t="s">
        <v>85</v>
      </c>
      <c r="D15" s="191" t="s">
        <v>86</v>
      </c>
    </row>
    <row r="16" spans="2:4" ht="55.15" customHeight="1" thickBot="1" x14ac:dyDescent="0.3">
      <c r="B16" s="192" t="s">
        <v>87</v>
      </c>
      <c r="C16" s="193" t="s">
        <v>389</v>
      </c>
      <c r="D16" s="194" t="s">
        <v>88</v>
      </c>
    </row>
    <row r="17" spans="2:4" x14ac:dyDescent="0.25">
      <c r="B17" s="195" t="s">
        <v>89</v>
      </c>
      <c r="C17"/>
      <c r="D17"/>
    </row>
    <row r="18" spans="2:4" x14ac:dyDescent="0.25">
      <c r="B18" s="903" t="s">
        <v>90</v>
      </c>
      <c r="C18" s="903"/>
      <c r="D18" s="903"/>
    </row>
    <row r="19" spans="2:4" x14ac:dyDescent="0.25">
      <c r="B19"/>
      <c r="C19"/>
      <c r="D19"/>
    </row>
  </sheetData>
  <sheetProtection algorithmName="SHA-512" hashValue="Q0r1SDMkOmqd82pmNLezh4T+r6I/UddsPA4H5uzk7PDtTzRtvKauLlw4Xz5xBim0AqCgsDEHON/Cqs0kfpPTfg==" saltValue="U7B0BfF+KW4U+/+wVPT6Og==" spinCount="100000" sheet="1" objects="1" scenarios="1"/>
  <mergeCells count="6">
    <mergeCell ref="B18:D18"/>
    <mergeCell ref="B10:B11"/>
    <mergeCell ref="C10:C11"/>
    <mergeCell ref="D10:D11"/>
    <mergeCell ref="B3:D3"/>
    <mergeCell ref="B4:D4"/>
  </mergeCells>
  <printOptions horizontalCentered="1"/>
  <pageMargins left="0.25" right="0.25" top="0.25" bottom="0.25" header="0.3" footer="0.3"/>
  <pageSetup scale="80" orientation="landscape" r:id="rId1"/>
  <headerFooter>
    <oddFooter>&amp;RMHC Rev. 03/2024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1">
    <tabColor theme="3" tint="0.749992370372631"/>
  </sheetPr>
  <dimension ref="B1:Y52"/>
  <sheetViews>
    <sheetView showGridLines="0" topLeftCell="A32" zoomScaleNormal="100" workbookViewId="0">
      <selection activeCell="B42" sqref="B42:B50"/>
    </sheetView>
  </sheetViews>
  <sheetFormatPr defaultColWidth="9.140625" defaultRowHeight="15" x14ac:dyDescent="0.25"/>
  <cols>
    <col min="1" max="1" width="2" style="3" customWidth="1"/>
    <col min="2" max="2" width="43.42578125" style="3" customWidth="1"/>
    <col min="3" max="3" width="2" style="3" customWidth="1"/>
    <col min="4" max="4" width="4" style="3" customWidth="1"/>
    <col min="5" max="5" width="7.7109375" style="3" customWidth="1"/>
    <col min="6" max="6" width="8" style="3" customWidth="1"/>
    <col min="7" max="7" width="9.28515625" style="3" customWidth="1"/>
    <col min="8" max="8" width="1" style="3" customWidth="1"/>
    <col min="9" max="9" width="23.7109375" style="3" customWidth="1"/>
    <col min="10" max="10" width="8.28515625" style="3" customWidth="1"/>
    <col min="11" max="11" width="3" style="3" customWidth="1"/>
    <col min="12" max="12" width="2.7109375" style="3" customWidth="1"/>
    <col min="13" max="13" width="0.7109375" style="3" customWidth="1"/>
    <col min="14" max="14" width="10.85546875" style="3" customWidth="1"/>
    <col min="15" max="15" width="2.7109375" style="3" customWidth="1"/>
    <col min="16" max="16" width="18.140625" style="3" customWidth="1"/>
    <col min="17" max="17" width="1" style="3" customWidth="1"/>
    <col min="18" max="18" width="9.42578125" style="3" customWidth="1"/>
    <col min="19" max="19" width="5.7109375" style="3" customWidth="1"/>
    <col min="20" max="20" width="7" style="3" customWidth="1"/>
    <col min="21" max="21" width="4" style="3" customWidth="1"/>
    <col min="22" max="16384" width="9.140625" style="3"/>
  </cols>
  <sheetData>
    <row r="1" spans="4:21" ht="23.45" customHeight="1" x14ac:dyDescent="0.25"/>
    <row r="2" spans="4:21" s="6" customFormat="1" ht="9" customHeight="1" x14ac:dyDescent="0.25">
      <c r="D2" s="17"/>
      <c r="E2" s="17"/>
      <c r="F2" s="17"/>
      <c r="G2" s="17"/>
      <c r="H2" s="17"/>
      <c r="I2" s="17"/>
      <c r="J2" s="17"/>
      <c r="K2" s="17"/>
      <c r="L2" s="17"/>
      <c r="M2" s="17"/>
      <c r="N2" s="17"/>
      <c r="O2" s="17"/>
      <c r="P2" s="17"/>
      <c r="Q2" s="17"/>
      <c r="R2" s="17"/>
      <c r="S2" s="17"/>
      <c r="T2" s="17"/>
      <c r="U2" s="17"/>
    </row>
    <row r="3" spans="4:21" s="6" customFormat="1" ht="19.5" x14ac:dyDescent="0.4">
      <c r="D3" s="17"/>
      <c r="E3" s="18"/>
      <c r="F3" s="19"/>
      <c r="G3" s="19"/>
      <c r="H3" s="17"/>
      <c r="I3" s="708"/>
      <c r="J3" s="708"/>
      <c r="K3" s="708"/>
      <c r="L3" s="708"/>
      <c r="M3" s="708"/>
      <c r="N3" s="708"/>
      <c r="O3" s="708"/>
      <c r="P3" s="708"/>
      <c r="Q3" s="17"/>
      <c r="R3" s="427"/>
      <c r="S3" s="427"/>
      <c r="T3" s="427"/>
      <c r="U3" s="17"/>
    </row>
    <row r="4" spans="4:21" s="6" customFormat="1" ht="27.6" customHeight="1" x14ac:dyDescent="0.25">
      <c r="D4" s="17"/>
      <c r="E4" s="410"/>
      <c r="F4" s="410"/>
      <c r="G4" s="411"/>
      <c r="H4" s="17"/>
      <c r="I4" s="705" t="s">
        <v>196</v>
      </c>
      <c r="J4" s="705"/>
      <c r="K4" s="705"/>
      <c r="L4" s="705"/>
      <c r="M4" s="705"/>
      <c r="N4" s="705"/>
      <c r="O4" s="705"/>
      <c r="P4" s="705"/>
      <c r="Q4" s="21"/>
      <c r="R4" s="413" t="s">
        <v>409</v>
      </c>
      <c r="S4" s="414"/>
      <c r="T4" s="414"/>
      <c r="U4" s="17"/>
    </row>
    <row r="5" spans="4:21" s="6" customFormat="1" ht="18.75" x14ac:dyDescent="0.25">
      <c r="D5" s="17"/>
      <c r="E5" s="410"/>
      <c r="F5" s="410"/>
      <c r="G5" s="411"/>
      <c r="H5" s="17"/>
      <c r="I5" s="512" t="s">
        <v>116</v>
      </c>
      <c r="J5" s="512"/>
      <c r="K5" s="512"/>
      <c r="L5" s="512"/>
      <c r="M5" s="512"/>
      <c r="N5" s="512"/>
      <c r="O5" s="512"/>
      <c r="P5" s="512"/>
      <c r="Q5" s="22"/>
      <c r="R5" s="416">
        <v>2023</v>
      </c>
      <c r="S5" s="417"/>
      <c r="T5" s="417"/>
      <c r="U5" s="17"/>
    </row>
    <row r="6" spans="4:21" s="6" customFormat="1" ht="13.9" customHeight="1" x14ac:dyDescent="0.25">
      <c r="D6" s="17"/>
      <c r="E6" s="410"/>
      <c r="F6" s="410"/>
      <c r="G6" s="411"/>
      <c r="H6" s="17"/>
      <c r="I6" s="415" t="s">
        <v>23</v>
      </c>
      <c r="J6" s="415"/>
      <c r="K6" s="415"/>
      <c r="L6" s="415"/>
      <c r="M6" s="415"/>
      <c r="N6" s="415"/>
      <c r="O6" s="415"/>
      <c r="P6" s="415"/>
      <c r="Q6" s="23"/>
      <c r="R6" s="418"/>
      <c r="S6" s="419"/>
      <c r="T6" s="419"/>
      <c r="U6" s="17"/>
    </row>
    <row r="7" spans="4:21" s="6" customFormat="1" ht="14.45" customHeight="1" thickBot="1" x14ac:dyDescent="0.3">
      <c r="D7" s="17"/>
      <c r="E7" s="24"/>
      <c r="F7" s="25"/>
      <c r="G7" s="26"/>
      <c r="H7" s="25"/>
      <c r="I7" s="525" t="s">
        <v>21</v>
      </c>
      <c r="J7" s="525"/>
      <c r="K7" s="525"/>
      <c r="L7" s="525"/>
      <c r="M7" s="525"/>
      <c r="N7" s="525"/>
      <c r="O7" s="525"/>
      <c r="P7" s="525"/>
      <c r="Q7" s="27"/>
      <c r="R7" s="423" t="s">
        <v>1</v>
      </c>
      <c r="S7" s="424"/>
      <c r="T7" s="424"/>
      <c r="U7" s="17"/>
    </row>
    <row r="8" spans="4:21" s="6" customFormat="1" ht="7.5" customHeight="1" x14ac:dyDescent="0.25">
      <c r="D8" s="17"/>
      <c r="E8" s="17"/>
      <c r="F8" s="17"/>
      <c r="G8" s="17"/>
      <c r="H8" s="17"/>
      <c r="I8" s="17"/>
      <c r="J8" s="17"/>
      <c r="K8" s="17"/>
      <c r="L8" s="17"/>
      <c r="M8" s="17"/>
      <c r="N8" s="17"/>
      <c r="O8" s="17"/>
      <c r="P8" s="17"/>
      <c r="Q8" s="17"/>
      <c r="R8" s="17"/>
      <c r="S8" s="17"/>
      <c r="T8" s="17"/>
      <c r="U8" s="17"/>
    </row>
    <row r="9" spans="4:21" s="6" customFormat="1" ht="5.25" customHeight="1" x14ac:dyDescent="0.25">
      <c r="D9" s="17"/>
      <c r="E9" s="29"/>
      <c r="F9" s="29"/>
      <c r="G9" s="29"/>
      <c r="H9" s="29"/>
      <c r="I9" s="29"/>
      <c r="J9" s="29"/>
      <c r="K9" s="29"/>
      <c r="L9" s="29"/>
      <c r="M9" s="29"/>
      <c r="N9" s="17"/>
      <c r="O9" s="20"/>
      <c r="P9" s="17"/>
      <c r="Q9" s="17"/>
      <c r="R9" s="17"/>
      <c r="S9" s="17"/>
      <c r="T9" s="17"/>
      <c r="U9" s="17"/>
    </row>
    <row r="10" spans="4:21" s="6" customFormat="1" ht="30" customHeight="1" x14ac:dyDescent="0.25">
      <c r="D10" s="17"/>
      <c r="E10" s="913" t="s">
        <v>93</v>
      </c>
      <c r="F10" s="913"/>
      <c r="G10" s="913"/>
      <c r="H10" s="913"/>
      <c r="I10" s="913"/>
      <c r="J10" s="913"/>
      <c r="K10" s="913"/>
      <c r="L10" s="913"/>
      <c r="M10" s="913"/>
      <c r="N10" s="913"/>
      <c r="O10" s="913"/>
      <c r="P10" s="913"/>
      <c r="Q10" s="913"/>
      <c r="R10" s="913"/>
      <c r="S10" s="913"/>
      <c r="T10" s="913"/>
      <c r="U10" s="17"/>
    </row>
    <row r="11" spans="4:21" s="6" customFormat="1" ht="5.45" customHeight="1" x14ac:dyDescent="0.25">
      <c r="D11" s="17"/>
      <c r="E11" s="29"/>
      <c r="F11" s="29"/>
      <c r="G11" s="20"/>
      <c r="H11" s="20"/>
      <c r="I11" s="20"/>
      <c r="J11" s="20"/>
      <c r="K11" s="20"/>
      <c r="L11" s="20"/>
      <c r="M11" s="20"/>
      <c r="N11" s="17"/>
      <c r="O11" s="20"/>
      <c r="P11" s="17"/>
      <c r="Q11" s="17"/>
      <c r="R11" s="17"/>
      <c r="S11" s="17"/>
      <c r="T11" s="17"/>
      <c r="U11" s="17"/>
    </row>
    <row r="12" spans="4:21" s="6" customFormat="1" ht="20.25" customHeight="1" x14ac:dyDescent="0.25">
      <c r="D12" s="17"/>
      <c r="E12" s="514" t="s">
        <v>2</v>
      </c>
      <c r="F12" s="515"/>
      <c r="G12" s="914"/>
      <c r="H12" s="915"/>
      <c r="I12" s="915"/>
      <c r="J12" s="916"/>
      <c r="K12" s="17"/>
      <c r="L12" s="17"/>
      <c r="M12" s="17"/>
      <c r="N12" s="17"/>
      <c r="O12" s="17"/>
      <c r="P12" s="32" t="s">
        <v>3</v>
      </c>
      <c r="Q12" s="29"/>
      <c r="R12" s="20" t="s">
        <v>4</v>
      </c>
      <c r="S12" s="914"/>
      <c r="T12" s="916"/>
      <c r="U12" s="17"/>
    </row>
    <row r="13" spans="4:21" s="6" customFormat="1" ht="7.5" customHeight="1" x14ac:dyDescent="0.25">
      <c r="D13" s="17"/>
      <c r="E13" s="501"/>
      <c r="F13" s="501"/>
      <c r="G13" s="501"/>
      <c r="H13" s="501"/>
      <c r="I13" s="501"/>
      <c r="J13" s="501"/>
      <c r="K13" s="501"/>
      <c r="L13" s="501"/>
      <c r="M13" s="501"/>
      <c r="N13" s="501"/>
      <c r="O13" s="501"/>
      <c r="P13" s="501"/>
      <c r="Q13" s="501"/>
      <c r="R13" s="501"/>
      <c r="S13" s="501"/>
      <c r="T13" s="501"/>
      <c r="U13" s="501"/>
    </row>
    <row r="14" spans="4:21" s="6" customFormat="1" ht="5.25" customHeight="1" thickBot="1" x14ac:dyDescent="0.3">
      <c r="D14" s="17"/>
      <c r="E14" s="17"/>
      <c r="F14" s="17"/>
      <c r="G14" s="17"/>
      <c r="H14" s="17"/>
      <c r="I14" s="17"/>
      <c r="J14" s="17"/>
      <c r="K14" s="17"/>
      <c r="L14" s="17"/>
      <c r="M14" s="17"/>
      <c r="N14" s="17"/>
      <c r="O14" s="17"/>
      <c r="P14" s="17"/>
      <c r="Q14" s="17"/>
      <c r="R14" s="17"/>
      <c r="S14" s="17"/>
      <c r="T14" s="17"/>
      <c r="U14" s="17"/>
    </row>
    <row r="15" spans="4:21" s="6" customFormat="1" ht="4.5" customHeight="1" thickBot="1" x14ac:dyDescent="0.3">
      <c r="D15" s="17"/>
      <c r="E15" s="42"/>
      <c r="F15" s="42"/>
      <c r="G15" s="42"/>
      <c r="H15" s="42"/>
      <c r="I15" s="42"/>
      <c r="J15" s="42"/>
      <c r="K15" s="42"/>
      <c r="L15" s="42"/>
      <c r="M15" s="42"/>
      <c r="N15" s="42"/>
      <c r="O15" s="42"/>
      <c r="P15" s="42"/>
      <c r="Q15" s="42"/>
      <c r="R15" s="42"/>
      <c r="S15" s="42"/>
      <c r="T15" s="42"/>
      <c r="U15" s="17"/>
    </row>
    <row r="16" spans="4:21" s="6" customFormat="1" ht="20.45" customHeight="1" thickBot="1" x14ac:dyDescent="0.3">
      <c r="D16" s="17"/>
      <c r="E16" s="917" t="s">
        <v>193</v>
      </c>
      <c r="F16" s="918"/>
      <c r="G16" s="918"/>
      <c r="H16" s="918"/>
      <c r="I16" s="918"/>
      <c r="J16" s="918"/>
      <c r="K16" s="918"/>
      <c r="L16" s="918"/>
      <c r="M16" s="918"/>
      <c r="N16" s="918"/>
      <c r="O16" s="918"/>
      <c r="P16" s="918"/>
      <c r="Q16" s="918"/>
      <c r="R16" s="918"/>
      <c r="S16" s="918"/>
      <c r="T16" s="919"/>
      <c r="U16" s="17"/>
    </row>
    <row r="17" spans="4:21" s="6" customFormat="1" ht="7.15" customHeight="1" x14ac:dyDescent="0.25">
      <c r="D17" s="17"/>
      <c r="E17" s="42"/>
      <c r="F17" s="42"/>
      <c r="G17" s="42"/>
      <c r="H17" s="42"/>
      <c r="I17" s="42"/>
      <c r="J17" s="42"/>
      <c r="K17" s="42"/>
      <c r="L17" s="42"/>
      <c r="M17" s="42"/>
      <c r="N17" s="42"/>
      <c r="O17" s="42"/>
      <c r="P17" s="42"/>
      <c r="Q17" s="42"/>
      <c r="R17" s="42"/>
      <c r="S17" s="42"/>
      <c r="T17" s="42"/>
      <c r="U17" s="17"/>
    </row>
    <row r="18" spans="4:21" s="6" customFormat="1" ht="24" customHeight="1" x14ac:dyDescent="0.25">
      <c r="D18" s="17"/>
      <c r="E18" s="509" t="s">
        <v>2</v>
      </c>
      <c r="F18" s="509"/>
      <c r="G18" s="509"/>
      <c r="H18" s="510"/>
      <c r="I18" s="911"/>
      <c r="J18" s="920"/>
      <c r="K18" s="920"/>
      <c r="L18" s="920"/>
      <c r="M18" s="920"/>
      <c r="N18" s="912"/>
      <c r="O18" s="99"/>
      <c r="P18" s="97" t="s">
        <v>110</v>
      </c>
      <c r="Q18" s="911"/>
      <c r="R18" s="920"/>
      <c r="S18" s="920"/>
      <c r="T18" s="912"/>
      <c r="U18" s="17"/>
    </row>
    <row r="19" spans="4:21" s="6" customFormat="1" ht="5.45" customHeight="1" x14ac:dyDescent="0.25">
      <c r="D19" s="17"/>
      <c r="E19" s="97"/>
      <c r="F19" s="97"/>
      <c r="G19" s="97"/>
      <c r="H19" s="97"/>
      <c r="I19" s="100"/>
      <c r="J19" s="100"/>
      <c r="K19" s="100"/>
      <c r="L19" s="100"/>
      <c r="M19" s="101"/>
      <c r="N19" s="101"/>
      <c r="O19" s="102"/>
      <c r="P19" s="103"/>
      <c r="Q19" s="101"/>
      <c r="R19" s="101"/>
      <c r="S19" s="100"/>
      <c r="T19" s="100"/>
      <c r="U19" s="17"/>
    </row>
    <row r="20" spans="4:21" s="6" customFormat="1" ht="24" customHeight="1" x14ac:dyDescent="0.25">
      <c r="D20" s="17"/>
      <c r="E20" s="509" t="s">
        <v>107</v>
      </c>
      <c r="F20" s="509"/>
      <c r="G20" s="509"/>
      <c r="H20" s="510"/>
      <c r="I20" s="908"/>
      <c r="J20" s="909"/>
      <c r="K20" s="909"/>
      <c r="L20" s="910"/>
      <c r="M20" s="104"/>
      <c r="N20" s="509" t="s">
        <v>108</v>
      </c>
      <c r="O20" s="510"/>
      <c r="P20" s="105"/>
      <c r="Q20" s="106"/>
      <c r="R20" s="98" t="s">
        <v>109</v>
      </c>
      <c r="S20" s="911"/>
      <c r="T20" s="912"/>
      <c r="U20" s="17"/>
    </row>
    <row r="21" spans="4:21" s="6" customFormat="1" ht="4.1500000000000004" customHeight="1" x14ac:dyDescent="0.25">
      <c r="D21" s="17"/>
      <c r="E21" s="97"/>
      <c r="F21" s="97"/>
      <c r="G21" s="97"/>
      <c r="H21" s="97"/>
      <c r="I21" s="100"/>
      <c r="J21" s="101"/>
      <c r="K21" s="101"/>
      <c r="L21" s="101"/>
      <c r="M21" s="102"/>
      <c r="N21" s="102"/>
      <c r="O21" s="102"/>
      <c r="P21" s="101"/>
      <c r="Q21" s="102"/>
      <c r="R21" s="102"/>
      <c r="S21" s="101"/>
      <c r="T21" s="101"/>
      <c r="U21" s="17"/>
    </row>
    <row r="22" spans="4:21" s="6" customFormat="1" ht="24" customHeight="1" x14ac:dyDescent="0.25">
      <c r="D22" s="17"/>
      <c r="E22" s="509" t="s">
        <v>110</v>
      </c>
      <c r="F22" s="509"/>
      <c r="G22" s="509"/>
      <c r="H22" s="510"/>
      <c r="I22" s="107"/>
      <c r="J22" s="99"/>
      <c r="K22" s="921" t="s">
        <v>54</v>
      </c>
      <c r="L22" s="921"/>
      <c r="M22" s="921"/>
      <c r="N22" s="921"/>
      <c r="O22" s="911"/>
      <c r="P22" s="912"/>
      <c r="Q22" s="99"/>
      <c r="R22" s="99"/>
      <c r="S22" s="99"/>
      <c r="T22" s="99"/>
      <c r="U22" s="17"/>
    </row>
    <row r="23" spans="4:21" s="6" customFormat="1" ht="4.1500000000000004" customHeight="1" x14ac:dyDescent="0.25">
      <c r="D23" s="17"/>
      <c r="E23" s="108"/>
      <c r="F23" s="108"/>
      <c r="G23" s="108"/>
      <c r="H23" s="108"/>
      <c r="I23" s="100"/>
      <c r="J23" s="103"/>
      <c r="K23" s="103"/>
      <c r="L23" s="103"/>
      <c r="M23" s="103"/>
      <c r="N23" s="103"/>
      <c r="O23" s="102"/>
      <c r="P23" s="102"/>
      <c r="Q23" s="103"/>
      <c r="R23" s="103"/>
      <c r="S23" s="103"/>
      <c r="T23" s="103"/>
      <c r="U23" s="17"/>
    </row>
    <row r="24" spans="4:21" s="6" customFormat="1" ht="24" customHeight="1" x14ac:dyDescent="0.25">
      <c r="D24" s="17"/>
      <c r="E24" s="509" t="s">
        <v>111</v>
      </c>
      <c r="F24" s="509"/>
      <c r="G24" s="509"/>
      <c r="H24" s="510"/>
      <c r="I24" s="908"/>
      <c r="J24" s="909"/>
      <c r="K24" s="909"/>
      <c r="L24" s="909"/>
      <c r="M24" s="909"/>
      <c r="N24" s="910"/>
      <c r="O24" s="99"/>
      <c r="P24" s="97" t="s">
        <v>53</v>
      </c>
      <c r="Q24" s="908"/>
      <c r="R24" s="909"/>
      <c r="S24" s="909"/>
      <c r="T24" s="910"/>
      <c r="U24" s="17"/>
    </row>
    <row r="25" spans="4:21" ht="9.75" customHeight="1" thickBot="1" x14ac:dyDescent="0.3">
      <c r="D25"/>
      <c r="E25"/>
      <c r="F25"/>
      <c r="G25"/>
      <c r="H25"/>
      <c r="I25"/>
      <c r="J25"/>
      <c r="K25"/>
      <c r="L25"/>
      <c r="M25"/>
      <c r="N25"/>
      <c r="O25"/>
      <c r="P25"/>
      <c r="Q25"/>
      <c r="R25"/>
      <c r="S25"/>
      <c r="T25"/>
      <c r="U25"/>
    </row>
    <row r="26" spans="4:21" ht="20.45" customHeight="1" thickBot="1" x14ac:dyDescent="0.3">
      <c r="D26"/>
      <c r="E26" s="403" t="s">
        <v>115</v>
      </c>
      <c r="F26" s="404"/>
      <c r="G26" s="404"/>
      <c r="H26" s="404"/>
      <c r="I26" s="404"/>
      <c r="J26" s="404"/>
      <c r="K26" s="404"/>
      <c r="L26" s="404"/>
      <c r="M26" s="404"/>
      <c r="N26" s="404"/>
      <c r="O26" s="404"/>
      <c r="P26" s="404"/>
      <c r="Q26" s="404"/>
      <c r="R26" s="404"/>
      <c r="S26" s="404"/>
      <c r="T26" s="405"/>
      <c r="U26"/>
    </row>
    <row r="27" spans="4:21" s="6" customFormat="1" ht="5.45" customHeight="1" x14ac:dyDescent="0.25">
      <c r="D27" s="17"/>
      <c r="E27" s="44"/>
      <c r="F27" s="45"/>
      <c r="G27" s="46"/>
      <c r="H27" s="46"/>
      <c r="I27" s="46"/>
      <c r="J27" s="46"/>
      <c r="K27" s="47"/>
      <c r="L27" s="47"/>
      <c r="M27" s="47"/>
      <c r="N27" s="47"/>
      <c r="O27" s="47"/>
      <c r="P27" s="47"/>
      <c r="Q27" s="47"/>
      <c r="R27" s="47"/>
      <c r="S27" s="47"/>
      <c r="T27" s="47"/>
      <c r="U27" s="17"/>
    </row>
    <row r="28" spans="4:21" s="13" customFormat="1" ht="76.900000000000006" customHeight="1" x14ac:dyDescent="0.25">
      <c r="D28" s="34"/>
      <c r="E28" s="922"/>
      <c r="F28" s="923"/>
      <c r="G28" s="923"/>
      <c r="H28" s="923"/>
      <c r="I28" s="923"/>
      <c r="J28" s="923"/>
      <c r="K28" s="923"/>
      <c r="L28" s="923"/>
      <c r="M28" s="923"/>
      <c r="N28" s="923"/>
      <c r="O28" s="923"/>
      <c r="P28" s="923"/>
      <c r="Q28" s="923"/>
      <c r="R28" s="923"/>
      <c r="S28" s="923"/>
      <c r="T28" s="924"/>
      <c r="U28" s="34"/>
    </row>
    <row r="29" spans="4:21" s="13" customFormat="1" ht="6" customHeight="1" thickBot="1" x14ac:dyDescent="0.3">
      <c r="D29" s="34"/>
      <c r="E29" s="37"/>
      <c r="F29" s="399"/>
      <c r="G29" s="399"/>
      <c r="H29" s="399"/>
      <c r="I29" s="399"/>
      <c r="J29" s="399"/>
      <c r="K29" s="399"/>
      <c r="L29" s="399"/>
      <c r="M29" s="399"/>
      <c r="N29" s="399"/>
      <c r="O29" s="399"/>
      <c r="P29" s="399"/>
      <c r="Q29" s="399"/>
      <c r="R29" s="399"/>
      <c r="S29" s="38"/>
      <c r="T29" s="41"/>
      <c r="U29" s="34"/>
    </row>
    <row r="30" spans="4:21" ht="20.45" customHeight="1" thickBot="1" x14ac:dyDescent="0.3">
      <c r="D30"/>
      <c r="E30" s="403" t="s">
        <v>115</v>
      </c>
      <c r="F30" s="404"/>
      <c r="G30" s="404"/>
      <c r="H30" s="404"/>
      <c r="I30" s="404"/>
      <c r="J30" s="404"/>
      <c r="K30" s="404"/>
      <c r="L30" s="404"/>
      <c r="M30" s="404"/>
      <c r="N30" s="404"/>
      <c r="O30" s="404"/>
      <c r="P30" s="404"/>
      <c r="Q30" s="404"/>
      <c r="R30" s="404"/>
      <c r="S30" s="404"/>
      <c r="T30" s="405"/>
      <c r="U30"/>
    </row>
    <row r="31" spans="4:21" s="6" customFormat="1" ht="5.45" customHeight="1" x14ac:dyDescent="0.25">
      <c r="D31" s="17"/>
      <c r="E31" s="44"/>
      <c r="F31" s="45"/>
      <c r="G31" s="46"/>
      <c r="H31" s="46"/>
      <c r="I31" s="46"/>
      <c r="J31" s="46"/>
      <c r="K31" s="47"/>
      <c r="L31" s="47"/>
      <c r="M31" s="47"/>
      <c r="N31" s="47"/>
      <c r="O31" s="47"/>
      <c r="P31" s="47"/>
      <c r="Q31" s="47"/>
      <c r="R31" s="47"/>
      <c r="S31" s="47"/>
      <c r="T31" s="47"/>
      <c r="U31" s="17"/>
    </row>
    <row r="32" spans="4:21" s="13" customFormat="1" ht="73.900000000000006" customHeight="1" x14ac:dyDescent="0.25">
      <c r="D32" s="34"/>
      <c r="E32" s="922"/>
      <c r="F32" s="923"/>
      <c r="G32" s="923"/>
      <c r="H32" s="923"/>
      <c r="I32" s="923"/>
      <c r="J32" s="923"/>
      <c r="K32" s="923"/>
      <c r="L32" s="923"/>
      <c r="M32" s="923"/>
      <c r="N32" s="923"/>
      <c r="O32" s="923"/>
      <c r="P32" s="923"/>
      <c r="Q32" s="923"/>
      <c r="R32" s="923"/>
      <c r="S32" s="923"/>
      <c r="T32" s="924"/>
      <c r="U32" s="34"/>
    </row>
    <row r="33" spans="2:25" s="13" customFormat="1" ht="6" customHeight="1" thickBot="1" x14ac:dyDescent="0.3">
      <c r="D33" s="34"/>
      <c r="E33" s="37"/>
      <c r="F33" s="399"/>
      <c r="G33" s="399"/>
      <c r="H33" s="399"/>
      <c r="I33" s="399"/>
      <c r="J33" s="399"/>
      <c r="K33" s="399"/>
      <c r="L33" s="399"/>
      <c r="M33" s="399"/>
      <c r="N33" s="399"/>
      <c r="O33" s="399"/>
      <c r="P33" s="399"/>
      <c r="Q33" s="399"/>
      <c r="R33" s="399"/>
      <c r="S33" s="38"/>
      <c r="T33" s="41"/>
      <c r="U33" s="34"/>
    </row>
    <row r="34" spans="2:25" ht="20.45" customHeight="1" thickBot="1" x14ac:dyDescent="0.3">
      <c r="D34"/>
      <c r="E34" s="403" t="s">
        <v>115</v>
      </c>
      <c r="F34" s="404"/>
      <c r="G34" s="404"/>
      <c r="H34" s="404"/>
      <c r="I34" s="404"/>
      <c r="J34" s="404"/>
      <c r="K34" s="404"/>
      <c r="L34" s="404"/>
      <c r="M34" s="404"/>
      <c r="N34" s="404"/>
      <c r="O34" s="404"/>
      <c r="P34" s="404"/>
      <c r="Q34" s="404"/>
      <c r="R34" s="404"/>
      <c r="S34" s="404"/>
      <c r="T34" s="405"/>
      <c r="U34"/>
    </row>
    <row r="35" spans="2:25" s="6" customFormat="1" ht="5.45" customHeight="1" x14ac:dyDescent="0.25">
      <c r="D35" s="17"/>
      <c r="E35" s="44"/>
      <c r="F35" s="45"/>
      <c r="G35" s="46"/>
      <c r="H35" s="46"/>
      <c r="I35" s="46"/>
      <c r="J35" s="46"/>
      <c r="K35" s="47"/>
      <c r="L35" s="47"/>
      <c r="M35" s="47"/>
      <c r="N35" s="47"/>
      <c r="O35" s="47"/>
      <c r="P35" s="47"/>
      <c r="Q35" s="47"/>
      <c r="R35" s="47"/>
      <c r="S35" s="47"/>
      <c r="T35" s="47"/>
      <c r="U35" s="17"/>
    </row>
    <row r="36" spans="2:25" s="13" customFormat="1" ht="73.150000000000006" customHeight="1" x14ac:dyDescent="0.25">
      <c r="D36" s="34"/>
      <c r="E36" s="922"/>
      <c r="F36" s="923"/>
      <c r="G36" s="923"/>
      <c r="H36" s="923"/>
      <c r="I36" s="923"/>
      <c r="J36" s="923"/>
      <c r="K36" s="923"/>
      <c r="L36" s="923"/>
      <c r="M36" s="923"/>
      <c r="N36" s="923"/>
      <c r="O36" s="923"/>
      <c r="P36" s="923"/>
      <c r="Q36" s="923"/>
      <c r="R36" s="923"/>
      <c r="S36" s="923"/>
      <c r="T36" s="924"/>
      <c r="U36" s="34"/>
    </row>
    <row r="37" spans="2:25" s="13" customFormat="1" ht="6" customHeight="1" thickBot="1" x14ac:dyDescent="0.3">
      <c r="D37" s="34"/>
      <c r="E37" s="37"/>
      <c r="F37" s="399"/>
      <c r="G37" s="399"/>
      <c r="H37" s="399"/>
      <c r="I37" s="399"/>
      <c r="J37" s="399"/>
      <c r="K37" s="399"/>
      <c r="L37" s="399"/>
      <c r="M37" s="399"/>
      <c r="N37" s="399"/>
      <c r="O37" s="399"/>
      <c r="P37" s="399"/>
      <c r="Q37" s="399"/>
      <c r="R37" s="399"/>
      <c r="S37" s="38"/>
      <c r="T37" s="41"/>
      <c r="U37" s="34"/>
    </row>
    <row r="38" spans="2:25" ht="20.45" customHeight="1" thickBot="1" x14ac:dyDescent="0.3">
      <c r="D38"/>
      <c r="E38" s="403" t="s">
        <v>115</v>
      </c>
      <c r="F38" s="404"/>
      <c r="G38" s="404"/>
      <c r="H38" s="404"/>
      <c r="I38" s="404"/>
      <c r="J38" s="404"/>
      <c r="K38" s="404"/>
      <c r="L38" s="404"/>
      <c r="M38" s="404"/>
      <c r="N38" s="404"/>
      <c r="O38" s="404"/>
      <c r="P38" s="404"/>
      <c r="Q38" s="404"/>
      <c r="R38" s="404"/>
      <c r="S38" s="404"/>
      <c r="T38" s="405"/>
      <c r="U38"/>
    </row>
    <row r="39" spans="2:25" s="6" customFormat="1" ht="5.45" customHeight="1" x14ac:dyDescent="0.25">
      <c r="D39" s="17"/>
      <c r="E39" s="44"/>
      <c r="F39" s="45"/>
      <c r="G39" s="46"/>
      <c r="H39" s="46"/>
      <c r="I39" s="46"/>
      <c r="J39" s="46"/>
      <c r="K39" s="47"/>
      <c r="L39" s="47"/>
      <c r="M39" s="47"/>
      <c r="N39" s="47"/>
      <c r="O39" s="47"/>
      <c r="P39" s="47"/>
      <c r="Q39" s="47"/>
      <c r="R39" s="47"/>
      <c r="S39" s="47"/>
      <c r="T39" s="47"/>
      <c r="U39" s="17"/>
    </row>
    <row r="40" spans="2:25" s="13" customFormat="1" ht="81" customHeight="1" x14ac:dyDescent="0.25">
      <c r="D40" s="34"/>
      <c r="E40" s="922"/>
      <c r="F40" s="923"/>
      <c r="G40" s="923"/>
      <c r="H40" s="923"/>
      <c r="I40" s="923"/>
      <c r="J40" s="923"/>
      <c r="K40" s="923"/>
      <c r="L40" s="923"/>
      <c r="M40" s="923"/>
      <c r="N40" s="923"/>
      <c r="O40" s="923"/>
      <c r="P40" s="923"/>
      <c r="Q40" s="923"/>
      <c r="R40" s="923"/>
      <c r="S40" s="923"/>
      <c r="T40" s="924"/>
      <c r="U40" s="34"/>
    </row>
    <row r="41" spans="2:25" s="13" customFormat="1" ht="6" customHeight="1" thickBot="1" x14ac:dyDescent="0.3">
      <c r="D41" s="34"/>
      <c r="E41" s="37"/>
      <c r="F41" s="399"/>
      <c r="G41" s="399"/>
      <c r="H41" s="399"/>
      <c r="I41" s="399"/>
      <c r="J41" s="399"/>
      <c r="K41" s="399"/>
      <c r="L41" s="399"/>
      <c r="M41" s="399"/>
      <c r="N41" s="399"/>
      <c r="O41" s="399"/>
      <c r="P41" s="399"/>
      <c r="Q41" s="399"/>
      <c r="R41" s="399"/>
      <c r="S41" s="38"/>
      <c r="T41" s="41"/>
      <c r="U41" s="34"/>
    </row>
    <row r="42" spans="2:25" ht="9" customHeight="1" thickTop="1" x14ac:dyDescent="0.25">
      <c r="B42" s="386"/>
      <c r="C42" s="13"/>
      <c r="D42"/>
      <c r="E42"/>
      <c r="F42" s="112"/>
      <c r="G42" s="112"/>
      <c r="H42" s="112"/>
      <c r="I42" s="112"/>
      <c r="J42" s="112"/>
      <c r="K42" s="112"/>
      <c r="L42" s="112"/>
      <c r="M42" s="112"/>
      <c r="N42" s="112"/>
      <c r="O42" s="112"/>
      <c r="P42" s="112"/>
      <c r="Q42" s="112"/>
      <c r="R42" s="112"/>
      <c r="S42" s="112"/>
      <c r="T42" s="41"/>
      <c r="U42"/>
    </row>
    <row r="43" spans="2:25" s="13" customFormat="1" ht="5.45" customHeight="1" x14ac:dyDescent="0.25">
      <c r="B43" s="387"/>
      <c r="D43" s="34"/>
      <c r="E43" s="49"/>
      <c r="F43" s="49"/>
      <c r="G43" s="50"/>
      <c r="H43" s="50"/>
      <c r="I43" s="50"/>
      <c r="J43" s="50"/>
      <c r="K43" s="50"/>
      <c r="L43" s="50"/>
      <c r="M43" s="50"/>
      <c r="N43" s="50"/>
      <c r="O43" s="50"/>
      <c r="P43" s="50"/>
      <c r="Q43" s="50"/>
      <c r="R43" s="50"/>
      <c r="S43" s="50"/>
      <c r="T43" s="41"/>
      <c r="U43" s="34"/>
    </row>
    <row r="44" spans="2:25" ht="29.45" customHeight="1" x14ac:dyDescent="0.25">
      <c r="B44" s="387"/>
      <c r="C44" s="13"/>
      <c r="D44"/>
      <c r="E44" s="529" t="s">
        <v>114</v>
      </c>
      <c r="F44" s="529"/>
      <c r="G44" s="529"/>
      <c r="H44" s="113"/>
      <c r="I44" s="530"/>
      <c r="J44" s="531"/>
      <c r="K44" s="531"/>
      <c r="L44" s="531"/>
      <c r="M44" s="531"/>
      <c r="N44" s="532"/>
      <c r="O44" s="113"/>
      <c r="P44" s="114" t="s">
        <v>51</v>
      </c>
      <c r="Q44" s="113"/>
      <c r="R44" s="530"/>
      <c r="S44" s="532"/>
      <c r="T44" s="41"/>
      <c r="U44"/>
    </row>
    <row r="45" spans="2:25" ht="6.6" customHeight="1" x14ac:dyDescent="0.25">
      <c r="B45" s="387"/>
      <c r="C45" s="13"/>
      <c r="D45"/>
      <c r="E45"/>
      <c r="F45"/>
      <c r="G45"/>
      <c r="H45"/>
      <c r="I45"/>
      <c r="J45"/>
      <c r="K45"/>
      <c r="L45"/>
      <c r="M45"/>
      <c r="N45"/>
      <c r="O45"/>
      <c r="P45"/>
      <c r="Q45"/>
      <c r="R45"/>
      <c r="S45"/>
      <c r="T45" s="41"/>
      <c r="U45"/>
    </row>
    <row r="46" spans="2:25" ht="28.9" customHeight="1" x14ac:dyDescent="0.25">
      <c r="B46" s="387"/>
      <c r="C46" s="13"/>
      <c r="D46"/>
      <c r="E46" s="529" t="s">
        <v>113</v>
      </c>
      <c r="F46" s="529"/>
      <c r="G46" s="529"/>
      <c r="H46" s="113"/>
      <c r="I46" s="530"/>
      <c r="J46" s="531"/>
      <c r="K46" s="531"/>
      <c r="L46" s="531"/>
      <c r="M46" s="531"/>
      <c r="N46" s="532"/>
      <c r="O46" s="113"/>
      <c r="P46" s="114"/>
      <c r="Q46" s="113"/>
      <c r="R46" s="533"/>
      <c r="S46" s="533"/>
      <c r="T46" s="41"/>
      <c r="U46"/>
    </row>
    <row r="47" spans="2:25" ht="20.45" customHeight="1" x14ac:dyDescent="0.25">
      <c r="B47" s="387"/>
      <c r="C47" s="13"/>
      <c r="D47"/>
      <c r="E47"/>
      <c r="F47"/>
      <c r="G47"/>
      <c r="H47"/>
      <c r="I47"/>
      <c r="J47"/>
      <c r="K47"/>
      <c r="L47"/>
      <c r="M47"/>
      <c r="N47"/>
      <c r="O47"/>
      <c r="P47"/>
      <c r="Q47"/>
      <c r="R47"/>
      <c r="S47"/>
      <c r="T47" s="41"/>
      <c r="U47"/>
    </row>
    <row r="48" spans="2:25" x14ac:dyDescent="0.25">
      <c r="B48" s="387"/>
      <c r="C48" s="13"/>
      <c r="D48"/>
      <c r="E48" s="407" t="s">
        <v>22</v>
      </c>
      <c r="F48" s="407"/>
      <c r="G48" s="407"/>
      <c r="H48" s="407"/>
      <c r="I48" s="407"/>
      <c r="J48" s="407"/>
      <c r="K48" s="407"/>
      <c r="L48" s="407"/>
      <c r="M48" s="407"/>
      <c r="N48" s="407"/>
      <c r="O48" s="407"/>
      <c r="P48" s="407"/>
      <c r="Q48" s="407"/>
      <c r="R48" s="407"/>
      <c r="S48" s="407"/>
      <c r="T48" s="407"/>
      <c r="U48" s="52"/>
      <c r="V48" s="16"/>
      <c r="W48" s="16"/>
      <c r="X48" s="16"/>
      <c r="Y48" s="15"/>
    </row>
    <row r="49" spans="2:24" x14ac:dyDescent="0.25">
      <c r="B49" s="387"/>
      <c r="C49" s="13"/>
      <c r="D49"/>
      <c r="E49" s="408"/>
      <c r="F49" s="408"/>
      <c r="G49" s="408"/>
      <c r="H49" s="408"/>
      <c r="I49" s="408"/>
      <c r="J49" s="408"/>
      <c r="K49" s="408"/>
      <c r="L49" s="408"/>
      <c r="M49" s="408"/>
      <c r="N49" s="408"/>
      <c r="O49" s="408"/>
      <c r="P49" s="408"/>
      <c r="Q49" s="408"/>
      <c r="R49" s="408"/>
      <c r="S49" s="408"/>
      <c r="T49" s="408"/>
      <c r="U49" s="52"/>
      <c r="V49" s="16"/>
      <c r="W49" s="16"/>
      <c r="X49" s="16"/>
    </row>
    <row r="50" spans="2:24" ht="15.75" thickBot="1" x14ac:dyDescent="0.3">
      <c r="B50" s="388"/>
      <c r="C50" s="13"/>
      <c r="D50"/>
      <c r="E50" s="393"/>
      <c r="F50" s="393"/>
      <c r="G50" s="393"/>
      <c r="H50" s="393"/>
      <c r="I50" s="393"/>
      <c r="J50" s="393"/>
      <c r="K50" s="393"/>
      <c r="L50" s="393"/>
      <c r="M50" s="393"/>
      <c r="N50" s="393"/>
      <c r="O50" s="393"/>
      <c r="P50" s="393"/>
      <c r="Q50" s="393"/>
      <c r="R50" s="393"/>
      <c r="S50" s="393"/>
      <c r="T50" s="393"/>
      <c r="U50" s="52"/>
      <c r="V50" s="16"/>
      <c r="W50" s="16"/>
      <c r="X50" s="16"/>
    </row>
    <row r="51" spans="2:24" ht="15.75" thickTop="1" x14ac:dyDescent="0.25">
      <c r="C51" s="13"/>
      <c r="U51" s="16"/>
      <c r="V51" s="16"/>
      <c r="W51" s="16"/>
      <c r="X51" s="16"/>
    </row>
    <row r="52" spans="2:24" x14ac:dyDescent="0.25">
      <c r="E52" s="426"/>
      <c r="F52" s="426"/>
      <c r="G52" s="426"/>
      <c r="H52" s="426"/>
      <c r="I52" s="426"/>
      <c r="J52" s="426"/>
      <c r="K52" s="426"/>
      <c r="L52" s="426"/>
      <c r="M52" s="426"/>
      <c r="N52" s="426"/>
      <c r="O52" s="426"/>
      <c r="P52" s="426"/>
      <c r="Q52" s="426"/>
      <c r="R52" s="426"/>
      <c r="S52" s="426"/>
      <c r="T52" s="426"/>
    </row>
  </sheetData>
  <mergeCells count="52">
    <mergeCell ref="E48:T48"/>
    <mergeCell ref="B42:B50"/>
    <mergeCell ref="E49:T49"/>
    <mergeCell ref="E50:T50"/>
    <mergeCell ref="E52:T52"/>
    <mergeCell ref="E44:G44"/>
    <mergeCell ref="I44:N44"/>
    <mergeCell ref="R44:S44"/>
    <mergeCell ref="E46:G46"/>
    <mergeCell ref="I46:N46"/>
    <mergeCell ref="R46:S46"/>
    <mergeCell ref="E28:T28"/>
    <mergeCell ref="F29:R29"/>
    <mergeCell ref="E38:T38"/>
    <mergeCell ref="E40:T40"/>
    <mergeCell ref="F41:R41"/>
    <mergeCell ref="F37:R37"/>
    <mergeCell ref="E30:T30"/>
    <mergeCell ref="E32:T32"/>
    <mergeCell ref="F33:R33"/>
    <mergeCell ref="E34:T34"/>
    <mergeCell ref="E36:T36"/>
    <mergeCell ref="E26:T26"/>
    <mergeCell ref="E22:H22"/>
    <mergeCell ref="K22:N22"/>
    <mergeCell ref="O22:P22"/>
    <mergeCell ref="E24:H24"/>
    <mergeCell ref="I24:N24"/>
    <mergeCell ref="Q24:T24"/>
    <mergeCell ref="I7:P7"/>
    <mergeCell ref="R7:T7"/>
    <mergeCell ref="E20:H20"/>
    <mergeCell ref="I20:L20"/>
    <mergeCell ref="N20:O20"/>
    <mergeCell ref="S20:T20"/>
    <mergeCell ref="E10:T10"/>
    <mergeCell ref="E12:F12"/>
    <mergeCell ref="G12:J12"/>
    <mergeCell ref="S12:T12"/>
    <mergeCell ref="E13:U13"/>
    <mergeCell ref="E16:T16"/>
    <mergeCell ref="E18:H18"/>
    <mergeCell ref="I18:N18"/>
    <mergeCell ref="Q18:T18"/>
    <mergeCell ref="I3:P3"/>
    <mergeCell ref="R3:T3"/>
    <mergeCell ref="E4:G6"/>
    <mergeCell ref="I4:P4"/>
    <mergeCell ref="R4:T4"/>
    <mergeCell ref="I5:P5"/>
    <mergeCell ref="R5:T6"/>
    <mergeCell ref="I6:P6"/>
  </mergeCells>
  <hyperlinks>
    <hyperlink ref="I7" r:id="rId1" xr:uid="{00000000-0004-0000-0500-000000000000}"/>
  </hyperlinks>
  <printOptions horizontalCentered="1"/>
  <pageMargins left="0" right="0" top="0.25" bottom="0.25" header="0.3" footer="0.3"/>
  <pageSetup scale="80" orientation="portrait" horizontalDpi="300" verticalDpi="300"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theme="1"/>
  </sheetPr>
  <dimension ref="A5:O14"/>
  <sheetViews>
    <sheetView workbookViewId="0">
      <selection activeCell="H22" sqref="H22"/>
    </sheetView>
  </sheetViews>
  <sheetFormatPr defaultRowHeight="15" x14ac:dyDescent="0.25"/>
  <cols>
    <col min="1" max="3" width="9.140625" style="3"/>
    <col min="4" max="4" width="13.7109375" style="3" customWidth="1"/>
    <col min="5" max="5" width="8.140625" style="3" customWidth="1"/>
    <col min="6" max="16384" width="9.140625" style="3"/>
  </cols>
  <sheetData>
    <row r="5" spans="1:15" x14ac:dyDescent="0.25">
      <c r="A5" s="353" t="s">
        <v>169</v>
      </c>
      <c r="B5" s="353" t="s">
        <v>169</v>
      </c>
      <c r="C5" s="353" t="s">
        <v>169</v>
      </c>
      <c r="D5" s="353" t="s">
        <v>169</v>
      </c>
      <c r="E5" s="353" t="s">
        <v>169</v>
      </c>
      <c r="F5" s="300"/>
      <c r="G5" s="300"/>
      <c r="H5" s="300"/>
      <c r="I5" s="300"/>
      <c r="J5" s="300"/>
      <c r="K5" s="300" t="s">
        <v>169</v>
      </c>
      <c r="L5" s="300"/>
      <c r="M5" s="300"/>
      <c r="N5" s="300"/>
      <c r="O5" s="300"/>
    </row>
    <row r="6" spans="1:15" x14ac:dyDescent="0.25">
      <c r="A6" s="353" t="s">
        <v>98</v>
      </c>
      <c r="B6" s="353" t="s">
        <v>210</v>
      </c>
      <c r="C6" s="354">
        <v>0.2</v>
      </c>
      <c r="D6" s="353" t="s">
        <v>211</v>
      </c>
      <c r="E6" s="353" t="s">
        <v>212</v>
      </c>
      <c r="F6" s="300"/>
      <c r="G6" s="300"/>
      <c r="H6" s="300"/>
      <c r="I6" s="300"/>
      <c r="J6" s="353" t="s">
        <v>213</v>
      </c>
      <c r="K6" s="300" t="s">
        <v>271</v>
      </c>
      <c r="L6" s="300"/>
      <c r="M6" s="300"/>
      <c r="N6" s="300"/>
      <c r="O6" s="300"/>
    </row>
    <row r="7" spans="1:15" x14ac:dyDescent="0.25">
      <c r="A7" s="353" t="s">
        <v>99</v>
      </c>
      <c r="B7" s="353" t="s">
        <v>214</v>
      </c>
      <c r="C7" s="354">
        <v>0.3</v>
      </c>
      <c r="D7" s="353" t="s">
        <v>215</v>
      </c>
      <c r="E7" s="353" t="s">
        <v>216</v>
      </c>
      <c r="F7" s="300"/>
      <c r="G7" s="300"/>
      <c r="H7" s="300"/>
      <c r="I7" s="300"/>
      <c r="J7" s="353" t="s">
        <v>217</v>
      </c>
      <c r="K7" s="300" t="s">
        <v>272</v>
      </c>
      <c r="L7" s="300"/>
      <c r="M7" s="300"/>
      <c r="N7" s="300"/>
      <c r="O7" s="300"/>
    </row>
    <row r="8" spans="1:15" x14ac:dyDescent="0.25">
      <c r="A8" s="353" t="s">
        <v>20</v>
      </c>
      <c r="B8" s="300"/>
      <c r="C8" s="354">
        <v>0.4</v>
      </c>
      <c r="D8" s="353" t="s">
        <v>218</v>
      </c>
      <c r="E8" s="353" t="s">
        <v>219</v>
      </c>
      <c r="F8" s="300"/>
      <c r="G8" s="300"/>
      <c r="H8" s="300"/>
      <c r="I8" s="300"/>
      <c r="J8" s="300"/>
      <c r="K8" s="300" t="s">
        <v>273</v>
      </c>
      <c r="L8" s="300"/>
      <c r="M8" s="300"/>
      <c r="N8" s="300"/>
      <c r="O8" s="300"/>
    </row>
    <row r="9" spans="1:15" x14ac:dyDescent="0.25">
      <c r="A9" s="300"/>
      <c r="B9" s="300"/>
      <c r="C9" s="354">
        <v>0.5</v>
      </c>
      <c r="D9" s="300"/>
      <c r="E9" s="300"/>
      <c r="F9" s="300"/>
      <c r="G9" s="300"/>
      <c r="H9" s="300"/>
      <c r="I9" s="300"/>
      <c r="J9" s="300"/>
      <c r="K9" s="300" t="s">
        <v>274</v>
      </c>
      <c r="L9" s="300"/>
      <c r="M9" s="300"/>
      <c r="N9" s="300"/>
      <c r="O9" s="300"/>
    </row>
    <row r="10" spans="1:15" x14ac:dyDescent="0.25">
      <c r="A10" s="300"/>
      <c r="B10" s="300"/>
      <c r="C10" s="353" t="s">
        <v>20</v>
      </c>
      <c r="D10" s="300"/>
      <c r="E10" s="300"/>
      <c r="F10" s="300"/>
      <c r="G10" s="300"/>
      <c r="H10" s="300"/>
      <c r="I10" s="300"/>
      <c r="J10" s="300"/>
      <c r="K10" s="300" t="s">
        <v>275</v>
      </c>
      <c r="L10" s="300"/>
      <c r="M10" s="300"/>
      <c r="N10" s="300"/>
      <c r="O10" s="300"/>
    </row>
    <row r="11" spans="1:15" x14ac:dyDescent="0.25">
      <c r="A11" s="300"/>
      <c r="B11" s="300"/>
      <c r="C11" s="300"/>
      <c r="D11" s="300"/>
      <c r="E11" s="300"/>
      <c r="F11" s="300"/>
      <c r="G11" s="300"/>
      <c r="H11" s="300"/>
      <c r="I11" s="300"/>
      <c r="J11" s="300"/>
      <c r="K11" s="300" t="s">
        <v>276</v>
      </c>
      <c r="L11" s="300"/>
      <c r="M11" s="300"/>
      <c r="N11" s="300"/>
      <c r="O11" s="300"/>
    </row>
    <row r="12" spans="1:15" x14ac:dyDescent="0.25">
      <c r="A12" s="300"/>
      <c r="B12" s="300"/>
      <c r="C12" s="300"/>
      <c r="D12" s="300"/>
      <c r="E12" s="300"/>
      <c r="F12" s="300"/>
      <c r="G12" s="300"/>
      <c r="H12" s="300"/>
      <c r="I12" s="300"/>
      <c r="J12" s="300"/>
      <c r="K12" s="300" t="s">
        <v>277</v>
      </c>
      <c r="L12" s="300"/>
      <c r="M12" s="300"/>
      <c r="N12" s="300"/>
      <c r="O12" s="300"/>
    </row>
    <row r="13" spans="1:15" x14ac:dyDescent="0.25">
      <c r="A13" s="300"/>
      <c r="B13" s="300"/>
      <c r="C13" s="300"/>
      <c r="D13" s="300"/>
      <c r="E13" s="300"/>
      <c r="F13" s="300"/>
      <c r="G13" s="300"/>
      <c r="H13" s="300"/>
      <c r="I13" s="300"/>
      <c r="J13" s="300"/>
      <c r="K13" s="300" t="s">
        <v>278</v>
      </c>
      <c r="L13" s="300"/>
      <c r="M13" s="300"/>
      <c r="N13" s="300"/>
      <c r="O13" s="300"/>
    </row>
    <row r="14" spans="1:15" x14ac:dyDescent="0.25">
      <c r="A14" s="300"/>
      <c r="B14" s="300"/>
      <c r="C14" s="300"/>
      <c r="D14" s="300"/>
      <c r="E14" s="300"/>
      <c r="F14" s="300"/>
      <c r="G14" s="300"/>
      <c r="H14" s="300"/>
      <c r="I14" s="300"/>
      <c r="J14" s="300"/>
      <c r="K14" s="300"/>
      <c r="L14" s="300"/>
      <c r="M14" s="300"/>
      <c r="N14" s="300"/>
      <c r="O14" s="30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3" tint="0.249977111117893"/>
  </sheetPr>
  <dimension ref="B3:S75"/>
  <sheetViews>
    <sheetView showGridLines="0" topLeftCell="A15" zoomScale="120" zoomScaleNormal="120" workbookViewId="0">
      <selection activeCell="Q11" sqref="Q11"/>
    </sheetView>
  </sheetViews>
  <sheetFormatPr defaultColWidth="8.85546875" defaultRowHeight="15" x14ac:dyDescent="0.25"/>
  <cols>
    <col min="1" max="1" width="4.140625" style="3" customWidth="1"/>
    <col min="2" max="2" width="36.7109375" style="3" customWidth="1"/>
    <col min="3" max="3" width="3.7109375" style="3" customWidth="1"/>
    <col min="4" max="5" width="8.85546875" style="3"/>
    <col min="6" max="6" width="4.85546875" style="3" customWidth="1"/>
    <col min="7" max="13" width="8.85546875" style="3"/>
    <col min="14" max="14" width="8.42578125" style="3" customWidth="1"/>
    <col min="15" max="15" width="2.85546875" style="3" customWidth="1"/>
    <col min="16" max="16384" width="8.85546875" style="3"/>
  </cols>
  <sheetData>
    <row r="3" spans="2:14" x14ac:dyDescent="0.25">
      <c r="D3"/>
      <c r="E3"/>
      <c r="F3"/>
      <c r="G3"/>
      <c r="H3"/>
      <c r="I3"/>
      <c r="J3"/>
      <c r="K3"/>
      <c r="L3"/>
      <c r="M3"/>
      <c r="N3"/>
    </row>
    <row r="4" spans="2:14" x14ac:dyDescent="0.25">
      <c r="D4"/>
      <c r="E4"/>
      <c r="F4"/>
      <c r="G4" s="389" t="s">
        <v>1231</v>
      </c>
      <c r="H4" s="389"/>
      <c r="I4" s="389"/>
      <c r="J4" s="389"/>
      <c r="K4" s="389"/>
      <c r="L4" s="389"/>
      <c r="M4" s="389"/>
      <c r="N4" s="389"/>
    </row>
    <row r="5" spans="2:14" x14ac:dyDescent="0.25">
      <c r="D5"/>
      <c r="E5"/>
      <c r="F5"/>
      <c r="G5" s="390" t="s">
        <v>1230</v>
      </c>
      <c r="H5" s="390"/>
      <c r="I5" s="390"/>
      <c r="J5" s="390"/>
      <c r="K5" s="390"/>
      <c r="L5" s="390"/>
      <c r="M5" s="390"/>
      <c r="N5" s="390"/>
    </row>
    <row r="6" spans="2:14" ht="32.25" customHeight="1" x14ac:dyDescent="0.25">
      <c r="D6"/>
      <c r="E6"/>
      <c r="F6"/>
      <c r="G6" s="390"/>
      <c r="H6" s="390"/>
      <c r="I6" s="390"/>
      <c r="J6" s="390"/>
      <c r="K6" s="390"/>
      <c r="L6" s="390"/>
      <c r="M6" s="390"/>
      <c r="N6" s="390"/>
    </row>
    <row r="7" spans="2:14" x14ac:dyDescent="0.25">
      <c r="D7"/>
      <c r="E7"/>
      <c r="F7"/>
      <c r="G7" s="392" t="s">
        <v>1243</v>
      </c>
      <c r="H7" s="393"/>
      <c r="I7" s="393"/>
      <c r="J7" s="393"/>
      <c r="K7" s="393"/>
      <c r="L7" s="393"/>
      <c r="M7" s="393"/>
      <c r="N7" s="393"/>
    </row>
    <row r="8" spans="2:14" ht="15" customHeight="1" x14ac:dyDescent="0.25">
      <c r="D8" s="381" t="s">
        <v>208</v>
      </c>
      <c r="E8" s="381"/>
      <c r="F8" s="382"/>
      <c r="G8" s="383" t="s">
        <v>200</v>
      </c>
      <c r="H8" s="383"/>
      <c r="I8" s="383"/>
      <c r="J8" s="383"/>
      <c r="K8" s="383"/>
      <c r="L8" s="383"/>
      <c r="M8" s="383"/>
      <c r="N8" s="383"/>
    </row>
    <row r="9" spans="2:14" ht="15" customHeight="1" x14ac:dyDescent="0.25">
      <c r="D9" s="381"/>
      <c r="E9" s="381"/>
      <c r="F9" s="382"/>
      <c r="G9" s="383"/>
      <c r="H9" s="383"/>
      <c r="I9" s="383"/>
      <c r="J9" s="383"/>
      <c r="K9" s="383"/>
      <c r="L9" s="383"/>
      <c r="M9" s="383"/>
      <c r="N9" s="383"/>
    </row>
    <row r="10" spans="2:14" ht="15" customHeight="1" thickBot="1" x14ac:dyDescent="0.3">
      <c r="D10" s="381"/>
      <c r="E10" s="381"/>
      <c r="F10" s="382"/>
      <c r="G10" s="383"/>
      <c r="H10" s="383"/>
      <c r="I10" s="383"/>
      <c r="J10" s="383"/>
      <c r="K10" s="383"/>
      <c r="L10" s="383"/>
      <c r="M10" s="383"/>
      <c r="N10" s="383"/>
    </row>
    <row r="11" spans="2:14" ht="54" customHeight="1" thickTop="1" x14ac:dyDescent="0.25">
      <c r="B11" s="386" t="s">
        <v>414</v>
      </c>
      <c r="D11" s="380" t="s">
        <v>1322</v>
      </c>
      <c r="E11" s="380"/>
      <c r="F11" s="380"/>
      <c r="G11" s="380"/>
      <c r="H11" s="380"/>
      <c r="I11" s="380"/>
      <c r="J11" s="380"/>
      <c r="K11" s="380"/>
      <c r="L11" s="380"/>
      <c r="M11" s="380"/>
      <c r="N11" s="380"/>
    </row>
    <row r="12" spans="2:14" ht="14.25" customHeight="1" x14ac:dyDescent="0.25">
      <c r="B12" s="387"/>
      <c r="D12" s="391" t="s">
        <v>1325</v>
      </c>
      <c r="E12" s="391"/>
      <c r="F12" s="391"/>
      <c r="G12" s="391"/>
      <c r="H12" s="391"/>
      <c r="I12" s="391"/>
      <c r="J12" s="391"/>
      <c r="K12" s="391"/>
      <c r="L12" s="391"/>
      <c r="M12" s="391"/>
      <c r="N12" s="391"/>
    </row>
    <row r="13" spans="2:14" x14ac:dyDescent="0.25">
      <c r="B13" s="387"/>
      <c r="D13"/>
      <c r="E13"/>
      <c r="F13"/>
      <c r="G13"/>
      <c r="H13"/>
      <c r="I13"/>
      <c r="J13"/>
      <c r="K13"/>
      <c r="L13"/>
      <c r="M13"/>
      <c r="N13"/>
    </row>
    <row r="14" spans="2:14" ht="15" customHeight="1" x14ac:dyDescent="0.25">
      <c r="B14" s="387"/>
      <c r="D14" s="381" t="s">
        <v>207</v>
      </c>
      <c r="E14" s="381"/>
      <c r="F14" s="382"/>
      <c r="G14" s="384" t="s">
        <v>201</v>
      </c>
      <c r="H14" s="384"/>
      <c r="I14" s="384"/>
      <c r="J14" s="384"/>
      <c r="K14" s="384"/>
      <c r="L14" s="384"/>
      <c r="M14" s="384"/>
      <c r="N14" s="384"/>
    </row>
    <row r="15" spans="2:14" ht="15" customHeight="1" x14ac:dyDescent="0.25">
      <c r="B15" s="387"/>
      <c r="D15" s="381"/>
      <c r="E15" s="381"/>
      <c r="F15" s="382"/>
      <c r="G15" s="384"/>
      <c r="H15" s="384"/>
      <c r="I15" s="384"/>
      <c r="J15" s="384"/>
      <c r="K15" s="384"/>
      <c r="L15" s="384"/>
      <c r="M15" s="384"/>
      <c r="N15" s="384"/>
    </row>
    <row r="16" spans="2:14" ht="15" customHeight="1" x14ac:dyDescent="0.25">
      <c r="B16" s="387"/>
      <c r="D16" s="381"/>
      <c r="E16" s="381"/>
      <c r="F16" s="382"/>
      <c r="G16" s="384"/>
      <c r="H16" s="384"/>
      <c r="I16" s="384"/>
      <c r="J16" s="384"/>
      <c r="K16" s="384"/>
      <c r="L16" s="384"/>
      <c r="M16" s="384"/>
      <c r="N16" s="384"/>
    </row>
    <row r="17" spans="2:19" ht="50.25" customHeight="1" thickBot="1" x14ac:dyDescent="0.3">
      <c r="B17" s="388"/>
      <c r="D17" s="380" t="s">
        <v>1323</v>
      </c>
      <c r="E17" s="380"/>
      <c r="F17" s="380"/>
      <c r="G17" s="380"/>
      <c r="H17" s="380"/>
      <c r="I17" s="380"/>
      <c r="J17" s="380"/>
      <c r="K17" s="380"/>
      <c r="L17" s="380"/>
      <c r="M17" s="380"/>
      <c r="N17" s="380"/>
    </row>
    <row r="18" spans="2:19" ht="15.75" thickTop="1" x14ac:dyDescent="0.25">
      <c r="D18"/>
      <c r="E18"/>
      <c r="F18"/>
      <c r="G18"/>
      <c r="H18"/>
      <c r="I18"/>
      <c r="J18"/>
      <c r="K18"/>
      <c r="L18"/>
      <c r="M18"/>
      <c r="N18"/>
    </row>
    <row r="19" spans="2:19" ht="15" customHeight="1" x14ac:dyDescent="0.25">
      <c r="D19" s="381" t="s">
        <v>206</v>
      </c>
      <c r="E19" s="381"/>
      <c r="F19" s="382"/>
      <c r="G19" s="384" t="s">
        <v>197</v>
      </c>
      <c r="H19" s="384"/>
      <c r="I19" s="384"/>
      <c r="J19" s="384"/>
      <c r="K19" s="384"/>
      <c r="L19" s="384"/>
      <c r="M19" s="384"/>
      <c r="N19" s="384"/>
    </row>
    <row r="20" spans="2:19" ht="15" customHeight="1" x14ac:dyDescent="0.25">
      <c r="D20" s="381"/>
      <c r="E20" s="381"/>
      <c r="F20" s="382"/>
      <c r="G20" s="384"/>
      <c r="H20" s="384"/>
      <c r="I20" s="384"/>
      <c r="J20" s="384"/>
      <c r="K20" s="384"/>
      <c r="L20" s="384"/>
      <c r="M20" s="384"/>
      <c r="N20" s="384"/>
    </row>
    <row r="21" spans="2:19" ht="15" customHeight="1" x14ac:dyDescent="0.25">
      <c r="D21" s="381"/>
      <c r="E21" s="381"/>
      <c r="F21" s="382"/>
      <c r="G21" s="384"/>
      <c r="H21" s="384"/>
      <c r="I21" s="384"/>
      <c r="J21" s="384"/>
      <c r="K21" s="384"/>
      <c r="L21" s="384"/>
      <c r="M21" s="384"/>
      <c r="N21" s="384"/>
    </row>
    <row r="22" spans="2:19" ht="33.75" customHeight="1" x14ac:dyDescent="0.25">
      <c r="D22" s="380" t="s">
        <v>269</v>
      </c>
      <c r="E22" s="380"/>
      <c r="F22" s="380"/>
      <c r="G22" s="380"/>
      <c r="H22" s="380"/>
      <c r="I22" s="380"/>
      <c r="J22" s="380"/>
      <c r="K22" s="380"/>
      <c r="L22" s="380"/>
      <c r="M22" s="380"/>
      <c r="N22" s="380"/>
    </row>
    <row r="23" spans="2:19" ht="14.25" customHeight="1" x14ac:dyDescent="0.25">
      <c r="D23" s="391" t="s">
        <v>1324</v>
      </c>
      <c r="E23" s="391"/>
      <c r="F23" s="391"/>
      <c r="G23" s="391"/>
      <c r="H23" s="391"/>
      <c r="I23" s="391"/>
      <c r="J23" s="391"/>
      <c r="K23" s="391"/>
      <c r="L23" s="391"/>
      <c r="M23" s="391"/>
      <c r="N23" s="391"/>
    </row>
    <row r="24" spans="2:19" x14ac:dyDescent="0.25">
      <c r="D24"/>
      <c r="E24"/>
      <c r="F24"/>
      <c r="G24"/>
      <c r="H24"/>
      <c r="I24"/>
      <c r="J24"/>
      <c r="K24"/>
      <c r="L24"/>
      <c r="M24"/>
      <c r="N24"/>
    </row>
    <row r="25" spans="2:19" ht="15" customHeight="1" x14ac:dyDescent="0.25">
      <c r="D25" s="381" t="s">
        <v>204</v>
      </c>
      <c r="E25" s="381"/>
      <c r="F25" s="382"/>
      <c r="G25" s="385" t="s">
        <v>205</v>
      </c>
      <c r="H25" s="384"/>
      <c r="I25" s="384"/>
      <c r="J25" s="384"/>
      <c r="K25" s="384"/>
      <c r="L25" s="384"/>
      <c r="M25" s="384"/>
      <c r="N25" s="384"/>
    </row>
    <row r="26" spans="2:19" ht="15" customHeight="1" x14ac:dyDescent="0.25">
      <c r="D26" s="381"/>
      <c r="E26" s="381"/>
      <c r="F26" s="382"/>
      <c r="G26" s="385"/>
      <c r="H26" s="384"/>
      <c r="I26" s="384"/>
      <c r="J26" s="384"/>
      <c r="K26" s="384"/>
      <c r="L26" s="384"/>
      <c r="M26" s="384"/>
      <c r="N26" s="384"/>
    </row>
    <row r="27" spans="2:19" ht="15" customHeight="1" x14ac:dyDescent="0.25">
      <c r="D27" s="381"/>
      <c r="E27" s="381"/>
      <c r="F27" s="382"/>
      <c r="G27" s="385"/>
      <c r="H27" s="384"/>
      <c r="I27" s="384"/>
      <c r="J27" s="384"/>
      <c r="K27" s="384"/>
      <c r="L27" s="384"/>
      <c r="M27" s="384"/>
      <c r="N27" s="384"/>
    </row>
    <row r="28" spans="2:19" ht="15" customHeight="1" x14ac:dyDescent="0.25">
      <c r="D28" s="381"/>
      <c r="E28" s="381"/>
      <c r="F28" s="382"/>
      <c r="G28" s="385"/>
      <c r="H28" s="384"/>
      <c r="I28" s="384"/>
      <c r="J28" s="384"/>
      <c r="K28" s="384"/>
      <c r="L28" s="384"/>
      <c r="M28" s="384"/>
      <c r="N28" s="384"/>
    </row>
    <row r="29" spans="2:19" ht="57.75" customHeight="1" x14ac:dyDescent="0.25">
      <c r="D29" s="380" t="s">
        <v>1326</v>
      </c>
      <c r="E29" s="380"/>
      <c r="F29" s="380"/>
      <c r="G29" s="380"/>
      <c r="H29" s="380"/>
      <c r="I29" s="380"/>
      <c r="J29" s="380"/>
      <c r="K29" s="380"/>
      <c r="L29" s="380"/>
      <c r="M29" s="380"/>
      <c r="N29" s="380"/>
      <c r="S29" s="355"/>
    </row>
    <row r="30" spans="2:19" x14ac:dyDescent="0.25">
      <c r="D30"/>
      <c r="E30"/>
      <c r="F30"/>
      <c r="G30"/>
      <c r="H30"/>
      <c r="I30"/>
      <c r="J30"/>
      <c r="K30"/>
      <c r="L30"/>
      <c r="M30"/>
      <c r="N30"/>
    </row>
    <row r="31" spans="2:19" ht="15" customHeight="1" x14ac:dyDescent="0.25">
      <c r="D31" s="381" t="s">
        <v>202</v>
      </c>
      <c r="E31" s="381"/>
      <c r="F31" s="382"/>
      <c r="G31" s="381" t="s">
        <v>203</v>
      </c>
      <c r="H31" s="381"/>
      <c r="I31" s="381"/>
      <c r="J31" s="381"/>
      <c r="K31" s="381"/>
      <c r="L31" s="381"/>
      <c r="M31" s="381"/>
      <c r="N31" s="381"/>
    </row>
    <row r="32" spans="2:19" ht="15" customHeight="1" x14ac:dyDescent="0.25">
      <c r="D32" s="381"/>
      <c r="E32" s="381"/>
      <c r="F32" s="382"/>
      <c r="G32" s="381"/>
      <c r="H32" s="381"/>
      <c r="I32" s="381"/>
      <c r="J32" s="381"/>
      <c r="K32" s="381"/>
      <c r="L32" s="381"/>
      <c r="M32" s="381"/>
      <c r="N32" s="381"/>
    </row>
    <row r="33" spans="4:14" ht="15" customHeight="1" x14ac:dyDescent="0.25">
      <c r="D33" s="381"/>
      <c r="E33" s="381"/>
      <c r="F33" s="382"/>
      <c r="G33" s="381"/>
      <c r="H33" s="381"/>
      <c r="I33" s="381"/>
      <c r="J33" s="381"/>
      <c r="K33" s="381"/>
      <c r="L33" s="381"/>
      <c r="M33" s="381"/>
      <c r="N33" s="381"/>
    </row>
    <row r="34" spans="4:14" ht="57.75" customHeight="1" x14ac:dyDescent="0.25">
      <c r="D34" s="380" t="s">
        <v>1241</v>
      </c>
      <c r="E34" s="380"/>
      <c r="F34" s="380"/>
      <c r="G34" s="380"/>
      <c r="H34" s="380"/>
      <c r="I34" s="380"/>
      <c r="J34" s="380"/>
      <c r="K34" s="380"/>
      <c r="L34" s="380"/>
      <c r="M34" s="380"/>
      <c r="N34" s="380"/>
    </row>
    <row r="35" spans="4:14" x14ac:dyDescent="0.25">
      <c r="D35"/>
      <c r="E35"/>
      <c r="F35"/>
      <c r="G35"/>
      <c r="H35"/>
      <c r="I35"/>
      <c r="J35"/>
      <c r="K35"/>
      <c r="L35"/>
      <c r="M35"/>
      <c r="N35"/>
    </row>
    <row r="75" spans="7:7" x14ac:dyDescent="0.25">
      <c r="G75" s="3" t="s">
        <v>1233</v>
      </c>
    </row>
  </sheetData>
  <sheetProtection algorithmName="SHA-512" hashValue="uppYxV0tg6WJ+rfJJh828fV6JtpSp40Hb1azZ36VZQbxwc5u+/BjOqRoUTEOHohhJHR6tp/6Vks77GyEfNSimA==" saltValue="mROVRAxRed50qFL+CFaYfg==" spinCount="100000" sheet="1" objects="1" scenarios="1" selectLockedCells="1"/>
  <mergeCells count="21">
    <mergeCell ref="B11:B17"/>
    <mergeCell ref="G4:N4"/>
    <mergeCell ref="G5:N6"/>
    <mergeCell ref="D12:N12"/>
    <mergeCell ref="D23:N23"/>
    <mergeCell ref="D11:N11"/>
    <mergeCell ref="D17:N17"/>
    <mergeCell ref="D22:N22"/>
    <mergeCell ref="G7:N7"/>
    <mergeCell ref="D29:N29"/>
    <mergeCell ref="D34:N34"/>
    <mergeCell ref="D8:F10"/>
    <mergeCell ref="G8:N10"/>
    <mergeCell ref="D14:F16"/>
    <mergeCell ref="G14:N16"/>
    <mergeCell ref="D19:F21"/>
    <mergeCell ref="G19:N21"/>
    <mergeCell ref="D31:F33"/>
    <mergeCell ref="G31:N33"/>
    <mergeCell ref="D25:F28"/>
    <mergeCell ref="G25:N28"/>
  </mergeCells>
  <hyperlinks>
    <hyperlink ref="G8:N10" location="'A. OCCPC'!Print_Area" display="OCCPC REPORT" xr:uid="{ADD9CAB4-92E8-40DB-8589-A9279CBA7CA1}"/>
    <hyperlink ref="G14:N16" location="'B. SUPPLEMENTAL CERT'!Print_Area" display="SUPPLEMENTAL CERTIFICATION REPORT" xr:uid="{38FAF9E7-C801-4FAC-BE32-C672AC704AB3}"/>
    <hyperlink ref="G19:N21" location="'C.  RENT ROLL'!Print_Area" display="OCCUPANCY (RENT ROLL) REPORT" xr:uid="{AFC2AFC8-37E6-4E8F-9AED-675B71C169E8}"/>
    <hyperlink ref="G25:N28" location="'D. DFAR'!Print_Area" display="DEVELOPMENT FINANCIAL ANALYSIS REPORT (DFAR)" xr:uid="{02930032-D535-44C6-8034-6436C295ACCE}"/>
  </hyperlinks>
  <printOptions horizontalCentered="1"/>
  <pageMargins left="0.25" right="0.25" top="0.5" bottom="0.5" header="0.3" footer="0.55000000000000004"/>
  <pageSetup orientation="portrait" r:id="rId1"/>
  <headerFooter>
    <oddFooter>&amp;RMHC Rev. 03/2025</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3" tint="0.749992370372631"/>
  </sheetPr>
  <dimension ref="B1:X71"/>
  <sheetViews>
    <sheetView showGridLines="0" zoomScaleNormal="100" workbookViewId="0">
      <selection activeCell="P9" sqref="P9:Q9"/>
    </sheetView>
  </sheetViews>
  <sheetFormatPr defaultColWidth="9.140625" defaultRowHeight="15" x14ac:dyDescent="0.25"/>
  <cols>
    <col min="1" max="1" width="40.28515625" style="3" customWidth="1"/>
    <col min="2" max="2" width="4" style="3" customWidth="1"/>
    <col min="3" max="3" width="4.7109375" style="3" customWidth="1"/>
    <col min="4" max="4" width="8" style="3" customWidth="1"/>
    <col min="5" max="5" width="9.28515625" style="3" customWidth="1"/>
    <col min="6" max="6" width="1" style="3" customWidth="1"/>
    <col min="7" max="7" width="23.7109375" style="3" customWidth="1"/>
    <col min="8" max="8" width="8.28515625" style="3" customWidth="1"/>
    <col min="9" max="9" width="3" style="3" customWidth="1"/>
    <col min="10" max="10" width="2.7109375" style="3" customWidth="1"/>
    <col min="11" max="11" width="10.85546875" style="3" customWidth="1"/>
    <col min="12" max="12" width="2.7109375" style="3" customWidth="1"/>
    <col min="13" max="13" width="18.140625" style="3" customWidth="1"/>
    <col min="14" max="14" width="1" style="3" customWidth="1"/>
    <col min="15" max="15" width="9.42578125" style="3" customWidth="1"/>
    <col min="16" max="16" width="5.140625" style="3" customWidth="1"/>
    <col min="17" max="17" width="9.42578125" style="3" customWidth="1"/>
    <col min="18" max="18" width="4" style="3" customWidth="1"/>
    <col min="19" max="19" width="2.7109375" style="3" customWidth="1"/>
    <col min="20" max="16384" width="9.140625" style="3"/>
  </cols>
  <sheetData>
    <row r="1" spans="2:24" ht="23.45" customHeight="1" x14ac:dyDescent="0.25"/>
    <row r="2" spans="2:24" s="6" customFormat="1" ht="9" customHeight="1" x14ac:dyDescent="0.25">
      <c r="B2" s="17"/>
      <c r="C2" s="17"/>
      <c r="D2" s="17"/>
      <c r="E2" s="17"/>
      <c r="F2" s="17"/>
      <c r="G2" s="17"/>
      <c r="H2" s="17"/>
      <c r="I2" s="17"/>
      <c r="J2" s="17"/>
      <c r="K2" s="17"/>
      <c r="L2" s="17"/>
      <c r="M2" s="17"/>
      <c r="N2" s="17"/>
      <c r="O2" s="17"/>
      <c r="P2" s="17"/>
      <c r="Q2" s="17"/>
      <c r="R2" s="17"/>
    </row>
    <row r="3" spans="2:24" s="6" customFormat="1" ht="20.25" x14ac:dyDescent="0.4">
      <c r="B3" s="17"/>
      <c r="C3" s="18"/>
      <c r="D3" s="19"/>
      <c r="E3" s="19"/>
      <c r="F3" s="17"/>
      <c r="G3" s="425" t="s">
        <v>57</v>
      </c>
      <c r="H3" s="425"/>
      <c r="I3" s="425"/>
      <c r="J3" s="425"/>
      <c r="K3" s="425"/>
      <c r="L3" s="425"/>
      <c r="M3" s="425"/>
      <c r="N3" s="17"/>
      <c r="O3" s="427"/>
      <c r="P3" s="427"/>
      <c r="Q3" s="427"/>
      <c r="R3" s="17"/>
    </row>
    <row r="4" spans="2:24" s="6" customFormat="1" ht="27.6" customHeight="1" x14ac:dyDescent="0.25">
      <c r="B4" s="17"/>
      <c r="C4" s="410"/>
      <c r="D4" s="410"/>
      <c r="E4" s="411"/>
      <c r="F4" s="17"/>
      <c r="G4" s="412" t="s">
        <v>58</v>
      </c>
      <c r="H4" s="412"/>
      <c r="I4" s="412"/>
      <c r="J4" s="412"/>
      <c r="K4" s="412"/>
      <c r="L4" s="412"/>
      <c r="M4" s="412"/>
      <c r="N4" s="21"/>
      <c r="O4" s="413" t="s">
        <v>1240</v>
      </c>
      <c r="P4" s="414"/>
      <c r="Q4" s="414"/>
      <c r="R4" s="17"/>
    </row>
    <row r="5" spans="2:24" s="6" customFormat="1" ht="15.75" x14ac:dyDescent="0.25">
      <c r="B5" s="17"/>
      <c r="C5" s="410"/>
      <c r="D5" s="410"/>
      <c r="E5" s="411"/>
      <c r="F5" s="17"/>
      <c r="G5" s="415" t="s">
        <v>23</v>
      </c>
      <c r="H5" s="415"/>
      <c r="I5" s="415"/>
      <c r="J5" s="415"/>
      <c r="K5" s="415"/>
      <c r="L5" s="415"/>
      <c r="M5" s="415"/>
      <c r="N5" s="22"/>
      <c r="O5" s="416">
        <v>2024</v>
      </c>
      <c r="P5" s="417"/>
      <c r="Q5" s="417"/>
      <c r="R5" s="17"/>
    </row>
    <row r="6" spans="2:24" s="6" customFormat="1" ht="13.9" customHeight="1" x14ac:dyDescent="0.25">
      <c r="B6" s="17"/>
      <c r="C6" s="410"/>
      <c r="D6" s="410"/>
      <c r="E6" s="411"/>
      <c r="F6" s="17"/>
      <c r="G6" s="420" t="s">
        <v>21</v>
      </c>
      <c r="H6" s="421"/>
      <c r="I6" s="421"/>
      <c r="J6" s="421"/>
      <c r="K6" s="421"/>
      <c r="L6" s="421"/>
      <c r="M6" s="421"/>
      <c r="N6" s="23"/>
      <c r="O6" s="418"/>
      <c r="P6" s="419"/>
      <c r="Q6" s="419"/>
      <c r="R6" s="17"/>
    </row>
    <row r="7" spans="2:24" s="6" customFormat="1" ht="14.25" thickBot="1" x14ac:dyDescent="0.3">
      <c r="B7" s="17"/>
      <c r="C7" s="24"/>
      <c r="D7" s="25"/>
      <c r="E7" s="26"/>
      <c r="F7" s="25"/>
      <c r="G7" s="422"/>
      <c r="H7" s="422"/>
      <c r="I7" s="422"/>
      <c r="J7" s="422"/>
      <c r="K7" s="422"/>
      <c r="L7" s="422"/>
      <c r="M7" s="422"/>
      <c r="N7" s="27"/>
      <c r="O7" s="423" t="s">
        <v>1</v>
      </c>
      <c r="P7" s="424"/>
      <c r="Q7" s="424"/>
      <c r="R7" s="17"/>
    </row>
    <row r="8" spans="2:24" s="6" customFormat="1" ht="7.5" customHeight="1" x14ac:dyDescent="0.25">
      <c r="B8" s="17"/>
      <c r="C8" s="17"/>
      <c r="D8" s="17"/>
      <c r="E8" s="17"/>
      <c r="F8" s="17"/>
      <c r="G8" s="17"/>
      <c r="H8" s="17"/>
      <c r="I8" s="17"/>
      <c r="J8" s="17"/>
      <c r="K8" s="17"/>
      <c r="L8" s="17"/>
      <c r="M8" s="17"/>
      <c r="N8" s="17"/>
      <c r="O8" s="17"/>
      <c r="P8" s="17"/>
      <c r="Q8" s="17"/>
      <c r="R8" s="17"/>
    </row>
    <row r="9" spans="2:24" s="6" customFormat="1" ht="20.25" customHeight="1" x14ac:dyDescent="0.25">
      <c r="B9" s="17"/>
      <c r="C9" s="430" t="s">
        <v>2</v>
      </c>
      <c r="D9" s="431"/>
      <c r="E9" s="397"/>
      <c r="F9" s="432"/>
      <c r="G9" s="432"/>
      <c r="H9" s="398"/>
      <c r="I9" s="17"/>
      <c r="J9" s="17"/>
      <c r="K9" s="17"/>
      <c r="L9" s="17"/>
      <c r="M9" s="32" t="s">
        <v>3</v>
      </c>
      <c r="N9" s="29"/>
      <c r="O9" s="20" t="s">
        <v>4</v>
      </c>
      <c r="P9" s="397"/>
      <c r="Q9" s="398"/>
      <c r="R9" s="17"/>
    </row>
    <row r="10" spans="2:24" s="6" customFormat="1" ht="5.25" customHeight="1" thickBot="1" x14ac:dyDescent="0.3">
      <c r="B10" s="17"/>
      <c r="C10" s="33"/>
      <c r="D10" s="33"/>
      <c r="E10" s="33"/>
      <c r="F10" s="33"/>
      <c r="G10" s="33"/>
      <c r="H10" s="33"/>
      <c r="I10" s="33"/>
      <c r="J10" s="33"/>
      <c r="K10" s="25"/>
      <c r="L10" s="28"/>
      <c r="M10" s="25"/>
      <c r="N10" s="25"/>
      <c r="O10" s="25"/>
      <c r="P10" s="25"/>
      <c r="Q10" s="25"/>
      <c r="R10" s="17"/>
    </row>
    <row r="11" spans="2:24" s="6" customFormat="1" ht="40.15" customHeight="1" x14ac:dyDescent="0.25">
      <c r="B11" s="17"/>
      <c r="C11" s="406" t="s">
        <v>1242</v>
      </c>
      <c r="D11" s="406"/>
      <c r="E11" s="406"/>
      <c r="F11" s="406"/>
      <c r="G11" s="406"/>
      <c r="H11" s="406"/>
      <c r="I11" s="406"/>
      <c r="J11" s="406"/>
      <c r="K11" s="406"/>
      <c r="L11" s="406"/>
      <c r="M11" s="406"/>
      <c r="N11" s="406"/>
      <c r="O11" s="406"/>
      <c r="P11" s="406"/>
      <c r="Q11" s="406"/>
      <c r="R11" s="17"/>
      <c r="T11" s="394" t="s">
        <v>1327</v>
      </c>
      <c r="U11" s="394"/>
      <c r="V11" s="394"/>
      <c r="W11" s="394"/>
      <c r="X11" s="394"/>
    </row>
    <row r="12" spans="2:24" s="6" customFormat="1" ht="5.45" customHeight="1" x14ac:dyDescent="0.25">
      <c r="B12" s="17"/>
      <c r="C12" s="29"/>
      <c r="D12" s="29"/>
      <c r="E12" s="20"/>
      <c r="F12" s="20"/>
      <c r="G12" s="20"/>
      <c r="H12" s="20"/>
      <c r="I12" s="20"/>
      <c r="J12" s="20"/>
      <c r="K12" s="17"/>
      <c r="L12" s="20"/>
      <c r="M12" s="17"/>
      <c r="N12" s="17"/>
      <c r="O12" s="429" t="s">
        <v>11</v>
      </c>
      <c r="P12" s="429"/>
      <c r="Q12" s="429"/>
      <c r="R12" s="17"/>
      <c r="T12" s="372"/>
      <c r="U12" s="372"/>
      <c r="V12" s="372"/>
      <c r="W12" s="372"/>
      <c r="X12" s="372"/>
    </row>
    <row r="13" spans="2:24" s="6" customFormat="1" ht="7.5" customHeight="1" x14ac:dyDescent="0.25">
      <c r="B13" s="17"/>
      <c r="C13" s="29"/>
      <c r="D13" s="29"/>
      <c r="E13" s="20"/>
      <c r="F13" s="20"/>
      <c r="G13" s="20"/>
      <c r="H13" s="20"/>
      <c r="I13" s="20"/>
      <c r="J13" s="20"/>
      <c r="K13" s="17"/>
      <c r="L13" s="20"/>
      <c r="M13" s="17"/>
      <c r="N13" s="17"/>
      <c r="O13" s="429"/>
      <c r="P13" s="429"/>
      <c r="Q13" s="429"/>
      <c r="R13" s="17"/>
      <c r="T13" s="395" t="s">
        <v>1328</v>
      </c>
      <c r="U13" s="395"/>
      <c r="V13" s="395"/>
      <c r="W13" s="395"/>
      <c r="X13" s="395"/>
    </row>
    <row r="14" spans="2:24" s="13" customFormat="1" ht="15" customHeight="1" x14ac:dyDescent="0.25">
      <c r="B14" s="34"/>
      <c r="C14" s="428" t="s">
        <v>10</v>
      </c>
      <c r="D14" s="428"/>
      <c r="E14" s="428"/>
      <c r="F14" s="428"/>
      <c r="G14" s="428"/>
      <c r="H14" s="428"/>
      <c r="I14" s="428"/>
      <c r="J14" s="428"/>
      <c r="K14" s="428"/>
      <c r="L14" s="428"/>
      <c r="M14" s="428"/>
      <c r="N14" s="36"/>
      <c r="O14" s="20" t="s">
        <v>13</v>
      </c>
      <c r="P14" s="37" t="s">
        <v>12</v>
      </c>
      <c r="Q14" s="20" t="s">
        <v>18</v>
      </c>
      <c r="R14" s="34"/>
      <c r="T14" s="395"/>
      <c r="U14" s="395"/>
      <c r="V14" s="395"/>
      <c r="W14" s="395"/>
      <c r="X14" s="395"/>
    </row>
    <row r="15" spans="2:24" s="13" customFormat="1" ht="4.5" customHeight="1" x14ac:dyDescent="0.25">
      <c r="B15" s="34"/>
      <c r="C15" s="35"/>
      <c r="D15" s="35"/>
      <c r="E15" s="35"/>
      <c r="F15" s="35"/>
      <c r="G15" s="35"/>
      <c r="H15" s="35"/>
      <c r="I15" s="35"/>
      <c r="J15" s="35"/>
      <c r="K15" s="35"/>
      <c r="L15" s="35"/>
      <c r="M15" s="35"/>
      <c r="N15" s="36"/>
      <c r="O15" s="20"/>
      <c r="P15" s="37"/>
      <c r="Q15" s="20"/>
      <c r="R15" s="34"/>
      <c r="T15" s="395"/>
      <c r="U15" s="395"/>
      <c r="V15" s="395"/>
      <c r="W15" s="395"/>
      <c r="X15" s="395"/>
    </row>
    <row r="16" spans="2:24" s="13" customFormat="1" ht="15" customHeight="1" x14ac:dyDescent="0.25">
      <c r="B16" s="34"/>
      <c r="C16" s="37"/>
      <c r="D16" s="399" t="s">
        <v>14</v>
      </c>
      <c r="E16" s="399"/>
      <c r="F16" s="399"/>
      <c r="G16" s="399"/>
      <c r="H16" s="399"/>
      <c r="I16" s="399"/>
      <c r="J16" s="399"/>
      <c r="K16" s="399"/>
      <c r="L16" s="399"/>
      <c r="M16" s="399"/>
      <c r="N16" s="39"/>
      <c r="O16" s="40"/>
      <c r="P16" s="38"/>
      <c r="Q16" s="41"/>
      <c r="R16" s="34"/>
      <c r="T16" s="395"/>
      <c r="U16" s="395"/>
      <c r="V16" s="395"/>
      <c r="W16" s="395"/>
      <c r="X16" s="395"/>
    </row>
    <row r="17" spans="2:24" s="13" customFormat="1" ht="15" customHeight="1" x14ac:dyDescent="0.25">
      <c r="B17" s="34"/>
      <c r="C17" s="37"/>
      <c r="D17" s="399" t="s">
        <v>1329</v>
      </c>
      <c r="E17" s="399"/>
      <c r="F17" s="399"/>
      <c r="G17" s="399"/>
      <c r="H17" s="399"/>
      <c r="I17" s="399"/>
      <c r="J17" s="399"/>
      <c r="K17" s="399"/>
      <c r="L17" s="399"/>
      <c r="M17" s="399"/>
      <c r="N17" s="39"/>
      <c r="O17" s="40"/>
      <c r="P17" s="38"/>
      <c r="Q17" s="41"/>
      <c r="R17" s="34"/>
      <c r="T17" s="395"/>
      <c r="U17" s="395"/>
      <c r="V17" s="395"/>
      <c r="W17" s="395"/>
      <c r="X17" s="395"/>
    </row>
    <row r="18" spans="2:24" s="6" customFormat="1" ht="5.25" customHeight="1" thickBot="1" x14ac:dyDescent="0.3">
      <c r="B18" s="17"/>
      <c r="C18" s="17"/>
      <c r="D18" s="17"/>
      <c r="E18" s="17"/>
      <c r="F18" s="17"/>
      <c r="G18" s="17"/>
      <c r="H18" s="17"/>
      <c r="I18" s="17"/>
      <c r="J18" s="17"/>
      <c r="K18" s="17"/>
      <c r="L18" s="17"/>
      <c r="M18" s="17"/>
      <c r="N18" s="17"/>
      <c r="O18" s="17"/>
      <c r="P18" s="17"/>
      <c r="Q18" s="17"/>
      <c r="R18" s="17"/>
      <c r="T18" s="395"/>
      <c r="U18" s="395"/>
      <c r="V18" s="395"/>
      <c r="W18" s="395"/>
      <c r="X18" s="395"/>
    </row>
    <row r="19" spans="2:24" s="6" customFormat="1" ht="3.6" customHeight="1" thickBot="1" x14ac:dyDescent="0.3">
      <c r="B19" s="17"/>
      <c r="C19" s="42"/>
      <c r="D19" s="42"/>
      <c r="E19" s="42"/>
      <c r="F19" s="42"/>
      <c r="G19" s="42"/>
      <c r="H19" s="42"/>
      <c r="I19" s="42"/>
      <c r="J19" s="42"/>
      <c r="K19" s="42"/>
      <c r="L19" s="42"/>
      <c r="M19" s="42"/>
      <c r="N19" s="42"/>
      <c r="O19" s="42"/>
      <c r="P19" s="42"/>
      <c r="Q19" s="42"/>
      <c r="R19" s="17"/>
      <c r="T19" s="395"/>
      <c r="U19" s="395"/>
      <c r="V19" s="395"/>
      <c r="W19" s="395"/>
      <c r="X19" s="395"/>
    </row>
    <row r="20" spans="2:24" s="6" customFormat="1" ht="20.45" customHeight="1" thickBot="1" x14ac:dyDescent="0.3">
      <c r="B20" s="17"/>
      <c r="C20" s="401" t="s">
        <v>5</v>
      </c>
      <c r="D20" s="402"/>
      <c r="E20" s="403" t="s">
        <v>17</v>
      </c>
      <c r="F20" s="404"/>
      <c r="G20" s="404"/>
      <c r="H20" s="404"/>
      <c r="I20" s="404"/>
      <c r="J20" s="404"/>
      <c r="K20" s="404"/>
      <c r="L20" s="404"/>
      <c r="M20" s="404"/>
      <c r="N20" s="404"/>
      <c r="O20" s="404"/>
      <c r="P20" s="404"/>
      <c r="Q20" s="405"/>
      <c r="R20" s="17"/>
      <c r="T20" s="395"/>
      <c r="U20" s="395"/>
      <c r="V20" s="395"/>
      <c r="W20" s="395"/>
      <c r="X20" s="395"/>
    </row>
    <row r="21" spans="2:24" s="6" customFormat="1" ht="5.45" customHeight="1" x14ac:dyDescent="0.25">
      <c r="B21" s="17"/>
      <c r="C21" s="44"/>
      <c r="D21" s="45"/>
      <c r="E21" s="46"/>
      <c r="F21" s="46"/>
      <c r="G21" s="46"/>
      <c r="H21" s="46"/>
      <c r="I21" s="47"/>
      <c r="J21" s="47"/>
      <c r="K21" s="47"/>
      <c r="L21" s="47"/>
      <c r="M21" s="47"/>
      <c r="N21" s="47"/>
      <c r="O21" s="47"/>
      <c r="P21" s="47"/>
      <c r="Q21" s="47"/>
      <c r="R21" s="17"/>
    </row>
    <row r="22" spans="2:24" s="13" customFormat="1" ht="15" customHeight="1" x14ac:dyDescent="0.25">
      <c r="B22" s="34"/>
      <c r="C22" s="37"/>
      <c r="D22" s="396" t="s">
        <v>16</v>
      </c>
      <c r="E22" s="396"/>
      <c r="F22" s="396"/>
      <c r="G22" s="396"/>
      <c r="H22" s="396"/>
      <c r="I22" s="396"/>
      <c r="J22" s="396"/>
      <c r="K22" s="396"/>
      <c r="L22" s="396"/>
      <c r="M22" s="396"/>
      <c r="N22" s="39"/>
      <c r="O22" s="41"/>
      <c r="P22" s="37" t="s">
        <v>12</v>
      </c>
      <c r="Q22" s="41"/>
      <c r="R22" s="34"/>
    </row>
    <row r="23" spans="2:24" s="13" customFormat="1" ht="15" customHeight="1" x14ac:dyDescent="0.25">
      <c r="B23" s="34"/>
      <c r="C23" s="37"/>
      <c r="D23" s="400" t="s">
        <v>393</v>
      </c>
      <c r="E23" s="400"/>
      <c r="F23" s="400"/>
      <c r="G23" s="400"/>
      <c r="H23" s="400"/>
      <c r="I23" s="400"/>
      <c r="J23" s="400"/>
      <c r="K23" s="400"/>
      <c r="L23" s="400"/>
      <c r="M23" s="400"/>
      <c r="N23" s="39"/>
      <c r="O23" s="34"/>
      <c r="P23" s="38"/>
      <c r="Q23" s="41"/>
      <c r="R23" s="34"/>
    </row>
    <row r="24" spans="2:24" s="13" customFormat="1" ht="15" customHeight="1" x14ac:dyDescent="0.25">
      <c r="B24" s="34"/>
      <c r="C24" s="37"/>
      <c r="D24" s="399" t="s">
        <v>399</v>
      </c>
      <c r="E24" s="399"/>
      <c r="F24" s="399"/>
      <c r="G24" s="399"/>
      <c r="H24" s="399"/>
      <c r="I24" s="399"/>
      <c r="J24" s="399"/>
      <c r="K24" s="399"/>
      <c r="L24" s="399"/>
      <c r="M24" s="399"/>
      <c r="N24" s="39"/>
      <c r="O24" s="34"/>
      <c r="P24" s="37"/>
      <c r="Q24" s="41"/>
      <c r="R24" s="34"/>
    </row>
    <row r="25" spans="2:24" s="13" customFormat="1" ht="15" customHeight="1" x14ac:dyDescent="0.25">
      <c r="B25" s="34"/>
      <c r="C25" s="37"/>
      <c r="D25" s="399" t="s">
        <v>400</v>
      </c>
      <c r="E25" s="399"/>
      <c r="F25" s="399"/>
      <c r="G25" s="399"/>
      <c r="H25" s="399"/>
      <c r="I25" s="399"/>
      <c r="J25" s="399"/>
      <c r="K25" s="399"/>
      <c r="L25" s="399"/>
      <c r="M25" s="399"/>
      <c r="N25" s="39"/>
      <c r="O25" s="34"/>
      <c r="P25" s="38"/>
      <c r="Q25" s="41"/>
      <c r="R25" s="34"/>
    </row>
    <row r="26" spans="2:24" s="13" customFormat="1" ht="15" customHeight="1" x14ac:dyDescent="0.25">
      <c r="B26" s="34"/>
      <c r="C26" s="37"/>
      <c r="D26" s="399" t="s">
        <v>401</v>
      </c>
      <c r="E26" s="399"/>
      <c r="F26" s="399"/>
      <c r="G26" s="399"/>
      <c r="H26" s="399"/>
      <c r="I26" s="399"/>
      <c r="J26" s="399"/>
      <c r="K26" s="399"/>
      <c r="L26" s="399"/>
      <c r="M26" s="399"/>
      <c r="N26" s="39"/>
      <c r="O26" s="34"/>
      <c r="P26" s="38"/>
      <c r="Q26" s="41"/>
      <c r="R26" s="34"/>
    </row>
    <row r="27" spans="2:24" ht="9.75" customHeight="1" thickBot="1" x14ac:dyDescent="0.3">
      <c r="B27"/>
      <c r="C27"/>
      <c r="D27"/>
      <c r="E27"/>
      <c r="F27"/>
      <c r="G27"/>
      <c r="H27"/>
      <c r="I27"/>
      <c r="J27"/>
      <c r="K27"/>
      <c r="L27"/>
      <c r="M27"/>
      <c r="N27"/>
      <c r="O27"/>
      <c r="P27"/>
      <c r="Q27"/>
      <c r="R27"/>
    </row>
    <row r="28" spans="2:24" ht="20.45" customHeight="1" thickBot="1" x14ac:dyDescent="0.3">
      <c r="B28"/>
      <c r="C28" s="401" t="s">
        <v>6</v>
      </c>
      <c r="D28" s="402"/>
      <c r="E28" s="403" t="s">
        <v>24</v>
      </c>
      <c r="F28" s="404"/>
      <c r="G28" s="404"/>
      <c r="H28" s="404"/>
      <c r="I28" s="404"/>
      <c r="J28" s="404"/>
      <c r="K28" s="404"/>
      <c r="L28" s="404"/>
      <c r="M28" s="404"/>
      <c r="N28" s="404"/>
      <c r="O28" s="404"/>
      <c r="P28" s="404"/>
      <c r="Q28" s="405"/>
      <c r="R28"/>
    </row>
    <row r="29" spans="2:24" s="6" customFormat="1" ht="5.45" customHeight="1" x14ac:dyDescent="0.25">
      <c r="B29" s="17"/>
      <c r="C29" s="44"/>
      <c r="D29" s="44"/>
      <c r="E29" s="46"/>
      <c r="F29" s="46"/>
      <c r="G29" s="46"/>
      <c r="H29" s="46"/>
      <c r="I29" s="47"/>
      <c r="J29" s="47"/>
      <c r="K29" s="47"/>
      <c r="L29" s="47"/>
      <c r="M29" s="47"/>
      <c r="N29" s="47"/>
      <c r="O29" s="47"/>
      <c r="P29" s="47"/>
      <c r="Q29" s="47"/>
      <c r="R29" s="17"/>
    </row>
    <row r="30" spans="2:24" s="13" customFormat="1" ht="15" customHeight="1" x14ac:dyDescent="0.25">
      <c r="B30" s="34"/>
      <c r="C30" s="37"/>
      <c r="D30" s="396" t="s">
        <v>329</v>
      </c>
      <c r="E30" s="396"/>
      <c r="F30" s="396"/>
      <c r="G30" s="396"/>
      <c r="H30" s="396"/>
      <c r="I30" s="396"/>
      <c r="J30" s="396"/>
      <c r="K30" s="396"/>
      <c r="L30" s="396"/>
      <c r="M30" s="396"/>
      <c r="N30" s="39"/>
      <c r="O30" s="40"/>
      <c r="P30" s="37"/>
      <c r="Q30" s="41"/>
      <c r="R30" s="34"/>
    </row>
    <row r="31" spans="2:24" s="13" customFormat="1" ht="15" customHeight="1" x14ac:dyDescent="0.25">
      <c r="B31" s="34"/>
      <c r="C31" s="37"/>
      <c r="D31" s="400" t="s">
        <v>402</v>
      </c>
      <c r="E31" s="400"/>
      <c r="F31" s="400"/>
      <c r="G31" s="400"/>
      <c r="H31" s="400"/>
      <c r="I31" s="400"/>
      <c r="J31" s="400"/>
      <c r="K31" s="400"/>
      <c r="L31" s="400"/>
      <c r="M31" s="400"/>
      <c r="N31" s="400"/>
      <c r="O31" s="400"/>
      <c r="P31" s="400"/>
      <c r="Q31" s="41"/>
      <c r="R31" s="34"/>
    </row>
    <row r="32" spans="2:24" s="13" customFormat="1" ht="15" customHeight="1" x14ac:dyDescent="0.25">
      <c r="B32" s="34"/>
      <c r="C32" s="37"/>
      <c r="D32" s="400" t="s">
        <v>1330</v>
      </c>
      <c r="E32" s="400"/>
      <c r="F32" s="400"/>
      <c r="G32" s="400"/>
      <c r="H32" s="400"/>
      <c r="I32" s="400"/>
      <c r="J32" s="400"/>
      <c r="K32" s="400"/>
      <c r="L32" s="400"/>
      <c r="M32" s="400"/>
      <c r="N32" s="400"/>
      <c r="O32" s="400"/>
      <c r="P32" s="38"/>
      <c r="Q32" s="41"/>
      <c r="R32" s="34"/>
    </row>
    <row r="33" spans="2:18" s="13" customFormat="1" ht="15" customHeight="1" x14ac:dyDescent="0.25">
      <c r="B33" s="34"/>
      <c r="C33" s="37"/>
      <c r="D33" s="400" t="s">
        <v>403</v>
      </c>
      <c r="E33" s="400"/>
      <c r="F33" s="400"/>
      <c r="G33" s="400"/>
      <c r="H33" s="400"/>
      <c r="I33" s="400"/>
      <c r="J33" s="400"/>
      <c r="K33" s="400"/>
      <c r="L33" s="400"/>
      <c r="M33" s="400"/>
      <c r="N33" s="400"/>
      <c r="O33" s="400"/>
      <c r="P33" s="38"/>
      <c r="Q33" s="41"/>
      <c r="R33" s="34"/>
    </row>
    <row r="34" spans="2:18" s="13" customFormat="1" ht="15" customHeight="1" x14ac:dyDescent="0.25">
      <c r="B34" s="34"/>
      <c r="C34" s="37"/>
      <c r="D34" s="400" t="s">
        <v>404</v>
      </c>
      <c r="E34" s="400"/>
      <c r="F34" s="400"/>
      <c r="G34" s="400"/>
      <c r="H34" s="400"/>
      <c r="I34" s="400"/>
      <c r="J34" s="400"/>
      <c r="K34" s="400"/>
      <c r="L34" s="400"/>
      <c r="M34" s="400"/>
      <c r="N34" s="400"/>
      <c r="O34" s="400"/>
      <c r="P34" s="38"/>
      <c r="Q34" s="41"/>
      <c r="R34" s="34"/>
    </row>
    <row r="35" spans="2:18" s="13" customFormat="1" ht="15" customHeight="1" x14ac:dyDescent="0.25">
      <c r="B35" s="34"/>
      <c r="C35" s="37"/>
      <c r="D35" s="399" t="s">
        <v>405</v>
      </c>
      <c r="E35" s="399"/>
      <c r="F35" s="399"/>
      <c r="G35" s="399"/>
      <c r="H35" s="399"/>
      <c r="I35" s="399"/>
      <c r="J35" s="399"/>
      <c r="K35" s="399"/>
      <c r="L35" s="399"/>
      <c r="M35" s="399"/>
      <c r="N35" s="399"/>
      <c r="O35" s="399"/>
      <c r="P35" s="38"/>
      <c r="Q35" s="41"/>
      <c r="R35" s="34"/>
    </row>
    <row r="36" spans="2:18" s="13" customFormat="1" ht="15" customHeight="1" x14ac:dyDescent="0.25">
      <c r="B36" s="34"/>
      <c r="C36" s="37"/>
      <c r="D36" s="399" t="s">
        <v>1331</v>
      </c>
      <c r="E36" s="399"/>
      <c r="F36" s="399"/>
      <c r="G36" s="399"/>
      <c r="H36" s="399"/>
      <c r="I36" s="399"/>
      <c r="J36" s="399"/>
      <c r="K36" s="399"/>
      <c r="L36" s="399"/>
      <c r="M36" s="399"/>
      <c r="N36" s="399"/>
      <c r="O36" s="399"/>
      <c r="P36" s="38"/>
      <c r="Q36" s="41"/>
      <c r="R36" s="34"/>
    </row>
    <row r="37" spans="2:18" s="13" customFormat="1" ht="15" customHeight="1" x14ac:dyDescent="0.25">
      <c r="B37" s="34"/>
      <c r="C37" s="37"/>
      <c r="D37" s="399" t="s">
        <v>25</v>
      </c>
      <c r="E37" s="399"/>
      <c r="F37" s="399"/>
      <c r="G37" s="399"/>
      <c r="H37" s="399"/>
      <c r="I37" s="399"/>
      <c r="J37" s="399"/>
      <c r="K37" s="399"/>
      <c r="L37" s="399"/>
      <c r="M37" s="399"/>
      <c r="N37" s="399"/>
      <c r="O37" s="399"/>
      <c r="P37" s="38"/>
      <c r="Q37" s="41"/>
      <c r="R37" s="34"/>
    </row>
    <row r="38" spans="2:18" ht="9" customHeight="1" thickBot="1" x14ac:dyDescent="0.3">
      <c r="B38"/>
      <c r="C38"/>
      <c r="D38"/>
      <c r="E38"/>
      <c r="F38"/>
      <c r="G38"/>
      <c r="H38"/>
      <c r="I38"/>
      <c r="J38"/>
      <c r="K38"/>
      <c r="L38"/>
      <c r="M38"/>
      <c r="N38"/>
      <c r="O38"/>
      <c r="P38"/>
      <c r="Q38"/>
      <c r="R38"/>
    </row>
    <row r="39" spans="2:18" ht="20.45" customHeight="1" thickBot="1" x14ac:dyDescent="0.3">
      <c r="B39"/>
      <c r="C39" s="401" t="s">
        <v>7</v>
      </c>
      <c r="D39" s="402"/>
      <c r="E39" s="403" t="s">
        <v>327</v>
      </c>
      <c r="F39" s="404"/>
      <c r="G39" s="404"/>
      <c r="H39" s="404"/>
      <c r="I39" s="404"/>
      <c r="J39" s="404"/>
      <c r="K39" s="404"/>
      <c r="L39" s="404"/>
      <c r="M39" s="404"/>
      <c r="N39" s="404"/>
      <c r="O39" s="404"/>
      <c r="P39" s="404"/>
      <c r="Q39" s="405"/>
      <c r="R39"/>
    </row>
    <row r="40" spans="2:18" s="6" customFormat="1" ht="5.45" customHeight="1" x14ac:dyDescent="0.25">
      <c r="B40" s="17"/>
      <c r="C40" s="44"/>
      <c r="D40" s="44"/>
      <c r="E40" s="46"/>
      <c r="F40" s="46"/>
      <c r="G40" s="46"/>
      <c r="H40" s="46"/>
      <c r="I40" s="47"/>
      <c r="J40" s="47"/>
      <c r="K40" s="47"/>
      <c r="L40" s="47"/>
      <c r="M40" s="47"/>
      <c r="N40" s="47"/>
      <c r="O40" s="47"/>
      <c r="P40" s="47"/>
      <c r="Q40" s="47"/>
      <c r="R40" s="17"/>
    </row>
    <row r="41" spans="2:18" s="13" customFormat="1" ht="15" customHeight="1" x14ac:dyDescent="0.25">
      <c r="B41" s="34"/>
      <c r="C41" s="37"/>
      <c r="D41" s="396" t="s">
        <v>1338</v>
      </c>
      <c r="E41" s="396"/>
      <c r="F41" s="396"/>
      <c r="G41" s="396"/>
      <c r="H41" s="396"/>
      <c r="I41" s="396"/>
      <c r="J41" s="396"/>
      <c r="K41" s="396"/>
      <c r="L41" s="396"/>
      <c r="M41" s="396"/>
      <c r="N41" s="396"/>
      <c r="O41" s="396"/>
      <c r="P41" s="37" t="s">
        <v>12</v>
      </c>
      <c r="Q41" s="41"/>
      <c r="R41" s="34"/>
    </row>
    <row r="42" spans="2:18" s="13" customFormat="1" ht="15" customHeight="1" x14ac:dyDescent="0.25">
      <c r="B42" s="34"/>
      <c r="C42" s="37"/>
      <c r="D42" s="400" t="s">
        <v>398</v>
      </c>
      <c r="E42" s="400"/>
      <c r="F42" s="400"/>
      <c r="G42" s="400"/>
      <c r="H42" s="400"/>
      <c r="I42" s="400"/>
      <c r="J42" s="400"/>
      <c r="K42" s="400"/>
      <c r="L42" s="400"/>
      <c r="M42" s="400"/>
      <c r="N42" s="400"/>
      <c r="O42" s="400"/>
      <c r="P42" s="37"/>
      <c r="Q42" s="41"/>
      <c r="R42" s="34"/>
    </row>
    <row r="43" spans="2:18" s="13" customFormat="1" ht="15" customHeight="1" x14ac:dyDescent="0.25">
      <c r="B43" s="34"/>
      <c r="C43" s="37"/>
      <c r="D43" s="399" t="s">
        <v>369</v>
      </c>
      <c r="E43" s="399"/>
      <c r="F43" s="399"/>
      <c r="G43" s="399"/>
      <c r="H43" s="399"/>
      <c r="I43" s="399"/>
      <c r="J43" s="399"/>
      <c r="K43" s="399"/>
      <c r="L43" s="399"/>
      <c r="M43" s="399"/>
      <c r="N43" s="399"/>
      <c r="O43" s="399"/>
      <c r="P43" s="38"/>
      <c r="Q43" s="41"/>
      <c r="R43" s="34"/>
    </row>
    <row r="44" spans="2:18" s="13" customFormat="1" ht="15" customHeight="1" x14ac:dyDescent="0.25">
      <c r="B44" s="34"/>
      <c r="C44" s="37"/>
      <c r="D44" s="399" t="s">
        <v>1332</v>
      </c>
      <c r="E44" s="399"/>
      <c r="F44" s="399"/>
      <c r="G44" s="399"/>
      <c r="H44" s="399"/>
      <c r="I44" s="399"/>
      <c r="J44" s="399"/>
      <c r="K44" s="399"/>
      <c r="L44" s="399"/>
      <c r="M44" s="399"/>
      <c r="N44" s="399"/>
      <c r="O44" s="399"/>
      <c r="P44" s="38"/>
      <c r="Q44" s="41"/>
      <c r="R44" s="34"/>
    </row>
    <row r="45" spans="2:18" s="13" customFormat="1" ht="15" customHeight="1" x14ac:dyDescent="0.25">
      <c r="B45" s="34"/>
      <c r="C45" s="37"/>
      <c r="D45" s="399" t="s">
        <v>25</v>
      </c>
      <c r="E45" s="399"/>
      <c r="F45" s="399"/>
      <c r="G45" s="399"/>
      <c r="H45" s="399"/>
      <c r="I45" s="399"/>
      <c r="J45" s="399"/>
      <c r="K45" s="399"/>
      <c r="L45" s="399"/>
      <c r="M45" s="399"/>
      <c r="N45" s="399"/>
      <c r="O45" s="399"/>
      <c r="P45" s="38"/>
      <c r="Q45" s="41"/>
      <c r="R45" s="34"/>
    </row>
    <row r="46" spans="2:18" ht="5.45" customHeight="1" thickBot="1" x14ac:dyDescent="0.3">
      <c r="B46"/>
      <c r="C46" s="48"/>
      <c r="D46" s="48"/>
      <c r="E46" s="48"/>
      <c r="F46" s="48"/>
      <c r="G46" s="48"/>
      <c r="H46" s="48"/>
      <c r="I46" s="48"/>
      <c r="J46" s="48"/>
      <c r="K46" s="48"/>
      <c r="L46" s="48"/>
      <c r="M46" s="48"/>
      <c r="N46" s="48"/>
      <c r="O46" s="48"/>
      <c r="P46" s="48"/>
      <c r="Q46" s="48"/>
      <c r="R46"/>
    </row>
    <row r="47" spans="2:18" ht="20.45" customHeight="1" thickBot="1" x14ac:dyDescent="0.3">
      <c r="B47"/>
      <c r="C47" s="401" t="s">
        <v>8</v>
      </c>
      <c r="D47" s="402"/>
      <c r="E47" s="403" t="s">
        <v>15</v>
      </c>
      <c r="F47" s="404"/>
      <c r="G47" s="404"/>
      <c r="H47" s="404"/>
      <c r="I47" s="404"/>
      <c r="J47" s="404"/>
      <c r="K47" s="404"/>
      <c r="L47" s="404"/>
      <c r="M47" s="404"/>
      <c r="N47" s="404"/>
      <c r="O47" s="404"/>
      <c r="P47" s="404"/>
      <c r="Q47" s="405"/>
      <c r="R47"/>
    </row>
    <row r="48" spans="2:18" s="6" customFormat="1" ht="5.45" customHeight="1" x14ac:dyDescent="0.25">
      <c r="B48" s="17"/>
      <c r="C48" s="44"/>
      <c r="D48" s="44"/>
      <c r="E48" s="46"/>
      <c r="F48" s="46"/>
      <c r="G48" s="46"/>
      <c r="H48" s="46"/>
      <c r="I48" s="47"/>
      <c r="J48" s="47"/>
      <c r="K48" s="47"/>
      <c r="L48" s="47"/>
      <c r="M48" s="47"/>
      <c r="N48" s="47"/>
      <c r="O48" s="47"/>
      <c r="P48" s="47"/>
      <c r="Q48" s="47"/>
      <c r="R48" s="17"/>
    </row>
    <row r="49" spans="2:18" s="13" customFormat="1" ht="15" customHeight="1" x14ac:dyDescent="0.25">
      <c r="B49" s="34"/>
      <c r="C49" s="37"/>
      <c r="D49" s="396" t="s">
        <v>370</v>
      </c>
      <c r="E49" s="396"/>
      <c r="F49" s="396"/>
      <c r="G49" s="396"/>
      <c r="H49" s="396"/>
      <c r="I49" s="396"/>
      <c r="J49" s="396"/>
      <c r="K49" s="396"/>
      <c r="L49" s="396"/>
      <c r="M49" s="396"/>
      <c r="N49" s="39"/>
      <c r="O49" s="41"/>
      <c r="P49" s="37"/>
      <c r="Q49" s="41"/>
      <c r="R49" s="34"/>
    </row>
    <row r="50" spans="2:18" s="13" customFormat="1" ht="15" customHeight="1" x14ac:dyDescent="0.25">
      <c r="B50" s="34"/>
      <c r="C50" s="37"/>
      <c r="D50" s="400" t="s">
        <v>406</v>
      </c>
      <c r="E50" s="400"/>
      <c r="F50" s="400"/>
      <c r="G50" s="400"/>
      <c r="H50" s="400"/>
      <c r="I50" s="400"/>
      <c r="J50" s="400"/>
      <c r="K50" s="400"/>
      <c r="L50" s="400"/>
      <c r="M50" s="400"/>
      <c r="N50" s="400"/>
      <c r="O50" s="400"/>
      <c r="P50" s="37"/>
      <c r="Q50" s="41"/>
      <c r="R50" s="34"/>
    </row>
    <row r="51" spans="2:18" s="13" customFormat="1" ht="15" customHeight="1" x14ac:dyDescent="0.25">
      <c r="B51" s="34"/>
      <c r="C51" s="37"/>
      <c r="D51" s="400" t="s">
        <v>407</v>
      </c>
      <c r="E51" s="400"/>
      <c r="F51" s="400"/>
      <c r="G51" s="400"/>
      <c r="H51" s="400"/>
      <c r="I51" s="400"/>
      <c r="J51" s="400"/>
      <c r="K51" s="400"/>
      <c r="L51" s="400"/>
      <c r="M51" s="400"/>
      <c r="N51" s="400"/>
      <c r="O51" s="400"/>
      <c r="P51" s="38"/>
      <c r="Q51" s="41"/>
      <c r="R51" s="34"/>
    </row>
    <row r="52" spans="2:18" s="13" customFormat="1" ht="15" customHeight="1" x14ac:dyDescent="0.25">
      <c r="B52" s="34"/>
      <c r="C52" s="37"/>
      <c r="D52" s="400" t="s">
        <v>397</v>
      </c>
      <c r="E52" s="400"/>
      <c r="F52" s="400"/>
      <c r="G52" s="400"/>
      <c r="H52" s="400"/>
      <c r="I52" s="400"/>
      <c r="J52" s="400"/>
      <c r="K52" s="400"/>
      <c r="L52" s="400"/>
      <c r="M52" s="400"/>
      <c r="N52" s="400"/>
      <c r="O52" s="400"/>
      <c r="P52" s="38"/>
      <c r="Q52" s="41"/>
      <c r="R52" s="34"/>
    </row>
    <row r="53" spans="2:18" s="13" customFormat="1" ht="15" customHeight="1" x14ac:dyDescent="0.25">
      <c r="B53" s="34"/>
      <c r="C53" s="37"/>
      <c r="D53" s="400" t="s">
        <v>408</v>
      </c>
      <c r="E53" s="400"/>
      <c r="F53" s="400"/>
      <c r="G53" s="400"/>
      <c r="H53" s="400"/>
      <c r="I53" s="400"/>
      <c r="J53" s="400"/>
      <c r="K53" s="400"/>
      <c r="L53" s="400"/>
      <c r="M53" s="400"/>
      <c r="N53" s="400"/>
      <c r="O53" s="400"/>
      <c r="P53" s="38"/>
      <c r="Q53" s="41"/>
      <c r="R53" s="34"/>
    </row>
    <row r="54" spans="2:18" s="13" customFormat="1" ht="15" customHeight="1" x14ac:dyDescent="0.25">
      <c r="B54" s="34"/>
      <c r="C54" s="37"/>
      <c r="D54" s="399" t="s">
        <v>396</v>
      </c>
      <c r="E54" s="399"/>
      <c r="F54" s="399"/>
      <c r="G54" s="399"/>
      <c r="H54" s="399"/>
      <c r="I54" s="399"/>
      <c r="J54" s="399"/>
      <c r="K54" s="399"/>
      <c r="L54" s="399"/>
      <c r="M54" s="399"/>
      <c r="N54" s="399"/>
      <c r="O54" s="399"/>
      <c r="P54" s="38"/>
      <c r="Q54" s="41"/>
      <c r="R54" s="34"/>
    </row>
    <row r="55" spans="2:18" s="13" customFormat="1" ht="15" customHeight="1" x14ac:dyDescent="0.25">
      <c r="B55" s="34"/>
      <c r="C55" s="37"/>
      <c r="D55" s="399" t="s">
        <v>26</v>
      </c>
      <c r="E55" s="399"/>
      <c r="F55" s="399"/>
      <c r="G55" s="399"/>
      <c r="H55" s="399"/>
      <c r="I55" s="399"/>
      <c r="J55" s="399"/>
      <c r="K55" s="399"/>
      <c r="L55" s="399"/>
      <c r="M55" s="399"/>
      <c r="N55" s="399"/>
      <c r="O55" s="399"/>
      <c r="P55" s="38"/>
      <c r="Q55" s="41"/>
      <c r="R55" s="34"/>
    </row>
    <row r="56" spans="2:18" ht="5.45" customHeight="1" thickBot="1" x14ac:dyDescent="0.3">
      <c r="B56"/>
      <c r="C56" s="48"/>
      <c r="D56" s="48"/>
      <c r="E56" s="48"/>
      <c r="F56" s="48"/>
      <c r="G56" s="48"/>
      <c r="H56" s="48"/>
      <c r="I56" s="48"/>
      <c r="J56" s="48"/>
      <c r="K56" s="48"/>
      <c r="L56" s="48"/>
      <c r="M56" s="48"/>
      <c r="N56" s="48"/>
      <c r="O56" s="48"/>
      <c r="P56" s="48"/>
      <c r="Q56" s="48"/>
      <c r="R56"/>
    </row>
    <row r="57" spans="2:18" ht="20.45" customHeight="1" thickBot="1" x14ac:dyDescent="0.3">
      <c r="B57"/>
      <c r="C57" s="401" t="s">
        <v>9</v>
      </c>
      <c r="D57" s="402"/>
      <c r="E57" s="403" t="s">
        <v>1224</v>
      </c>
      <c r="F57" s="404"/>
      <c r="G57" s="404"/>
      <c r="H57" s="404"/>
      <c r="I57" s="404"/>
      <c r="J57" s="404"/>
      <c r="K57" s="404"/>
      <c r="L57" s="404"/>
      <c r="M57" s="404"/>
      <c r="N57" s="404"/>
      <c r="O57" s="404"/>
      <c r="P57" s="404"/>
      <c r="Q57" s="405"/>
      <c r="R57"/>
    </row>
    <row r="58" spans="2:18" s="6" customFormat="1" ht="5.45" customHeight="1" x14ac:dyDescent="0.25">
      <c r="B58" s="17"/>
      <c r="C58" s="44"/>
      <c r="D58" s="44"/>
      <c r="E58" s="46"/>
      <c r="F58" s="46"/>
      <c r="G58" s="46"/>
      <c r="H58" s="46"/>
      <c r="I58" s="47"/>
      <c r="J58" s="47"/>
      <c r="K58" s="47"/>
      <c r="L58" s="47"/>
      <c r="M58" s="47"/>
      <c r="N58" s="47"/>
      <c r="O58" s="47"/>
      <c r="P58" s="47"/>
      <c r="Q58" s="47"/>
      <c r="R58" s="17"/>
    </row>
    <row r="59" spans="2:18" s="13" customFormat="1" ht="15" customHeight="1" x14ac:dyDescent="0.25">
      <c r="B59" s="34"/>
      <c r="C59" s="37"/>
      <c r="D59" s="396" t="s">
        <v>19</v>
      </c>
      <c r="E59" s="396"/>
      <c r="F59" s="396"/>
      <c r="G59" s="396"/>
      <c r="H59" s="396"/>
      <c r="I59" s="396"/>
      <c r="J59" s="396"/>
      <c r="K59" s="396"/>
      <c r="L59" s="396"/>
      <c r="M59" s="396"/>
      <c r="N59" s="39"/>
      <c r="O59" s="40"/>
      <c r="P59" s="37"/>
      <c r="Q59" s="41"/>
      <c r="R59" s="34"/>
    </row>
    <row r="60" spans="2:18" s="13" customFormat="1" ht="15" customHeight="1" x14ac:dyDescent="0.25">
      <c r="B60" s="34"/>
      <c r="C60" s="37"/>
      <c r="D60" s="400" t="s">
        <v>372</v>
      </c>
      <c r="E60" s="400"/>
      <c r="F60" s="400"/>
      <c r="G60" s="400"/>
      <c r="H60" s="400"/>
      <c r="I60" s="400"/>
      <c r="J60" s="400"/>
      <c r="K60" s="400"/>
      <c r="L60" s="400"/>
      <c r="M60" s="400"/>
      <c r="N60" s="400"/>
      <c r="O60" s="400"/>
      <c r="P60" s="38"/>
      <c r="Q60" s="41"/>
      <c r="R60" s="34"/>
    </row>
    <row r="61" spans="2:18" s="13" customFormat="1" ht="15" customHeight="1" x14ac:dyDescent="0.25">
      <c r="B61" s="34"/>
      <c r="C61" s="37"/>
      <c r="D61" s="400" t="s">
        <v>371</v>
      </c>
      <c r="E61" s="400"/>
      <c r="F61" s="400"/>
      <c r="G61" s="400"/>
      <c r="H61" s="400"/>
      <c r="I61" s="400"/>
      <c r="J61" s="400"/>
      <c r="K61" s="400"/>
      <c r="L61" s="400"/>
      <c r="M61" s="400"/>
      <c r="N61" s="400"/>
      <c r="O61" s="400"/>
      <c r="P61" s="38"/>
      <c r="Q61" s="41"/>
      <c r="R61" s="34"/>
    </row>
    <row r="62" spans="2:18" s="13" customFormat="1" ht="15" customHeight="1" x14ac:dyDescent="0.25">
      <c r="B62" s="34"/>
      <c r="C62" s="37"/>
      <c r="D62" s="399" t="s">
        <v>395</v>
      </c>
      <c r="E62" s="399"/>
      <c r="F62" s="399"/>
      <c r="G62" s="399"/>
      <c r="H62" s="399"/>
      <c r="I62" s="399"/>
      <c r="J62" s="399"/>
      <c r="K62" s="399"/>
      <c r="L62" s="399"/>
      <c r="M62" s="399"/>
      <c r="N62" s="399"/>
      <c r="O62" s="399"/>
      <c r="P62" s="399"/>
      <c r="Q62" s="41"/>
      <c r="R62" s="34"/>
    </row>
    <row r="63" spans="2:18" s="13" customFormat="1" ht="5.45" customHeight="1" x14ac:dyDescent="0.25">
      <c r="B63" s="34"/>
      <c r="C63" s="49"/>
      <c r="D63" s="49"/>
      <c r="E63" s="50"/>
      <c r="F63" s="50"/>
      <c r="G63" s="50"/>
      <c r="H63" s="50"/>
      <c r="I63" s="50"/>
      <c r="J63" s="50"/>
      <c r="K63" s="50"/>
      <c r="L63" s="50"/>
      <c r="M63" s="50"/>
      <c r="N63" s="50"/>
      <c r="O63" s="50"/>
      <c r="P63" s="50"/>
      <c r="Q63" s="50"/>
      <c r="R63" s="34"/>
    </row>
    <row r="64" spans="2:18" ht="15.75" thickBot="1" x14ac:dyDescent="0.3">
      <c r="B64"/>
      <c r="C64" s="409" t="s">
        <v>394</v>
      </c>
      <c r="D64" s="409"/>
      <c r="E64" s="409"/>
      <c r="F64" s="409"/>
      <c r="G64" s="409"/>
      <c r="H64" s="409"/>
      <c r="I64" s="409"/>
      <c r="J64" s="409"/>
      <c r="K64" s="409"/>
      <c r="L64" s="409"/>
      <c r="M64" s="409"/>
      <c r="N64" s="409"/>
      <c r="O64" s="409"/>
      <c r="P64" s="409"/>
      <c r="Q64" s="409"/>
      <c r="R64"/>
    </row>
    <row r="65" spans="2:23" ht="6.6" customHeight="1" thickTop="1" x14ac:dyDescent="0.25">
      <c r="B65"/>
      <c r="C65"/>
      <c r="D65"/>
      <c r="E65"/>
      <c r="F65"/>
      <c r="G65"/>
      <c r="H65"/>
      <c r="I65"/>
      <c r="J65"/>
      <c r="K65"/>
      <c r="L65"/>
      <c r="M65"/>
      <c r="N65"/>
      <c r="O65"/>
      <c r="P65"/>
      <c r="Q65"/>
      <c r="R65"/>
    </row>
    <row r="66" spans="2:23" x14ac:dyDescent="0.25">
      <c r="B66"/>
      <c r="C66" s="51"/>
      <c r="D66" s="407" t="s">
        <v>22</v>
      </c>
      <c r="E66" s="407"/>
      <c r="F66" s="407"/>
      <c r="G66" s="407"/>
      <c r="H66" s="407"/>
      <c r="I66" s="407"/>
      <c r="J66" s="407"/>
      <c r="K66" s="407"/>
      <c r="L66" s="407"/>
      <c r="M66" s="407"/>
      <c r="N66" s="407"/>
      <c r="O66" s="407"/>
      <c r="P66" s="407"/>
      <c r="Q66" s="52"/>
      <c r="R66" s="52"/>
      <c r="S66" s="16"/>
      <c r="T66" s="16"/>
      <c r="U66" s="16"/>
      <c r="V66" s="15"/>
      <c r="W66" s="15"/>
    </row>
    <row r="67" spans="2:23" x14ac:dyDescent="0.25">
      <c r="B67"/>
      <c r="C67" s="408"/>
      <c r="D67" s="408"/>
      <c r="E67" s="408"/>
      <c r="F67" s="408"/>
      <c r="G67" s="408"/>
      <c r="H67" s="408"/>
      <c r="I67" s="408"/>
      <c r="J67" s="408"/>
      <c r="K67" s="408"/>
      <c r="L67" s="408"/>
      <c r="M67" s="408"/>
      <c r="N67" s="408"/>
      <c r="O67" s="408"/>
      <c r="P67" s="408"/>
      <c r="Q67" s="408"/>
      <c r="R67" s="52"/>
      <c r="S67" s="16"/>
      <c r="T67" s="16"/>
      <c r="U67" s="16"/>
    </row>
    <row r="68" spans="2:23" ht="15.75" x14ac:dyDescent="0.25">
      <c r="B68"/>
      <c r="C68" s="1"/>
      <c r="D68" s="1"/>
      <c r="E68" s="1"/>
      <c r="F68" s="1"/>
      <c r="G68" s="1"/>
      <c r="H68" s="1"/>
      <c r="I68" s="1"/>
      <c r="J68" s="1"/>
      <c r="K68" s="1"/>
      <c r="L68" s="1"/>
      <c r="M68" s="1"/>
      <c r="N68" s="1"/>
      <c r="O68" s="1"/>
      <c r="P68" s="1"/>
      <c r="Q68" s="1"/>
      <c r="R68" s="52"/>
      <c r="S68" s="16"/>
      <c r="T68" s="16"/>
      <c r="U68" s="16"/>
    </row>
    <row r="69" spans="2:23" x14ac:dyDescent="0.25">
      <c r="B69"/>
      <c r="C69" s="393"/>
      <c r="D69" s="393"/>
      <c r="E69" s="393"/>
      <c r="F69" s="393"/>
      <c r="G69" s="393"/>
      <c r="H69" s="393"/>
      <c r="I69" s="393"/>
      <c r="J69" s="393"/>
      <c r="K69" s="393"/>
      <c r="L69" s="393"/>
      <c r="M69" s="393"/>
      <c r="N69" s="393"/>
      <c r="O69" s="393"/>
      <c r="P69" s="393"/>
      <c r="Q69" s="393"/>
      <c r="R69" s="52"/>
      <c r="S69" s="16"/>
      <c r="T69" s="16"/>
      <c r="U69" s="16"/>
    </row>
    <row r="70" spans="2:23" x14ac:dyDescent="0.25">
      <c r="R70" s="16"/>
      <c r="S70" s="16"/>
      <c r="T70" s="16"/>
      <c r="U70" s="16"/>
    </row>
    <row r="71" spans="2:23" x14ac:dyDescent="0.25">
      <c r="C71" s="426"/>
      <c r="D71" s="426"/>
      <c r="E71" s="426"/>
      <c r="F71" s="426"/>
      <c r="G71" s="426"/>
      <c r="H71" s="426"/>
      <c r="I71" s="426"/>
      <c r="J71" s="426"/>
      <c r="K71" s="426"/>
      <c r="L71" s="426"/>
      <c r="M71" s="426"/>
      <c r="N71" s="426"/>
      <c r="O71" s="426"/>
      <c r="P71" s="426"/>
      <c r="Q71" s="426"/>
    </row>
  </sheetData>
  <sheetProtection algorithmName="SHA-512" hashValue="GDjmV663jlraPcYwj/2yiZ0Hs0BS1ntRhWbnun9RPG106ajyxVHefO7vuoeLnSO8nr7N5Mok4gbd+LeLtSLJmg==" saltValue="D3fn74LufMhC94ugtN2BHQ==" spinCount="100000" sheet="1" selectLockedCells="1"/>
  <mergeCells count="63">
    <mergeCell ref="G3:M3"/>
    <mergeCell ref="C71:Q71"/>
    <mergeCell ref="O3:Q3"/>
    <mergeCell ref="D53:O53"/>
    <mergeCell ref="D54:O54"/>
    <mergeCell ref="D24:M24"/>
    <mergeCell ref="D25:M25"/>
    <mergeCell ref="D26:M26"/>
    <mergeCell ref="D22:M22"/>
    <mergeCell ref="D16:M16"/>
    <mergeCell ref="D17:M17"/>
    <mergeCell ref="C14:M14"/>
    <mergeCell ref="O12:Q13"/>
    <mergeCell ref="C9:D9"/>
    <mergeCell ref="E9:H9"/>
    <mergeCell ref="E47:Q47"/>
    <mergeCell ref="C4:E6"/>
    <mergeCell ref="G4:M4"/>
    <mergeCell ref="O4:Q4"/>
    <mergeCell ref="G5:M5"/>
    <mergeCell ref="O5:Q6"/>
    <mergeCell ref="G6:M7"/>
    <mergeCell ref="O7:Q7"/>
    <mergeCell ref="D42:O42"/>
    <mergeCell ref="C67:Q67"/>
    <mergeCell ref="D61:O61"/>
    <mergeCell ref="D60:O60"/>
    <mergeCell ref="C57:D57"/>
    <mergeCell ref="E57:Q57"/>
    <mergeCell ref="D59:M59"/>
    <mergeCell ref="C64:Q64"/>
    <mergeCell ref="D23:M23"/>
    <mergeCell ref="D50:O50"/>
    <mergeCell ref="D66:P66"/>
    <mergeCell ref="D52:O52"/>
    <mergeCell ref="D30:M30"/>
    <mergeCell ref="D31:P31"/>
    <mergeCell ref="D62:P62"/>
    <mergeCell ref="D34:O34"/>
    <mergeCell ref="D36:O36"/>
    <mergeCell ref="D37:O37"/>
    <mergeCell ref="D49:M49"/>
    <mergeCell ref="C39:D39"/>
    <mergeCell ref="E39:Q39"/>
    <mergeCell ref="D44:O44"/>
    <mergeCell ref="C47:D47"/>
    <mergeCell ref="D43:O43"/>
    <mergeCell ref="T11:X11"/>
    <mergeCell ref="T13:X20"/>
    <mergeCell ref="D41:O41"/>
    <mergeCell ref="C69:Q69"/>
    <mergeCell ref="P9:Q9"/>
    <mergeCell ref="D55:O55"/>
    <mergeCell ref="D51:O51"/>
    <mergeCell ref="C28:D28"/>
    <mergeCell ref="E28:Q28"/>
    <mergeCell ref="D33:O33"/>
    <mergeCell ref="D45:O45"/>
    <mergeCell ref="D35:O35"/>
    <mergeCell ref="C20:D20"/>
    <mergeCell ref="E20:Q20"/>
    <mergeCell ref="C11:Q11"/>
    <mergeCell ref="D32:O32"/>
  </mergeCells>
  <hyperlinks>
    <hyperlink ref="G6" r:id="rId1" xr:uid="{00000000-0004-0000-0100-000000000000}"/>
  </hyperlinks>
  <printOptions horizontalCentered="1"/>
  <pageMargins left="0.45" right="0.45" top="0.75" bottom="0.25" header="0.3" footer="0.3"/>
  <pageSetup scale="75" orientation="portrait" r:id="rId2"/>
  <headerFooter>
    <oddFooter xml:space="preserve">&amp;R&amp;"Calibri Light,Regular"&amp;10MHC rev. 03/2025
</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xdr:col>
                    <xdr:colOff>57150</xdr:colOff>
                    <xdr:row>20</xdr:row>
                    <xdr:rowOff>57150</xdr:rowOff>
                  </from>
                  <to>
                    <xdr:col>3</xdr:col>
                    <xdr:colOff>9525</xdr:colOff>
                    <xdr:row>22</xdr:row>
                    <xdr:rowOff>9525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xdr:col>
                    <xdr:colOff>57150</xdr:colOff>
                    <xdr:row>23</xdr:row>
                    <xdr:rowOff>171450</xdr:rowOff>
                  </from>
                  <to>
                    <xdr:col>3</xdr:col>
                    <xdr:colOff>9525</xdr:colOff>
                    <xdr:row>25</xdr:row>
                    <xdr:rowOff>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xdr:col>
                    <xdr:colOff>57150</xdr:colOff>
                    <xdr:row>25</xdr:row>
                    <xdr:rowOff>0</xdr:rowOff>
                  </from>
                  <to>
                    <xdr:col>3</xdr:col>
                    <xdr:colOff>9525</xdr:colOff>
                    <xdr:row>26</xdr:row>
                    <xdr:rowOff>28575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3</xdr:col>
                    <xdr:colOff>0</xdr:colOff>
                    <xdr:row>21</xdr:row>
                    <xdr:rowOff>171450</xdr:rowOff>
                  </from>
                  <to>
                    <xdr:col>3</xdr:col>
                    <xdr:colOff>266700</xdr:colOff>
                    <xdr:row>23</xdr:row>
                    <xdr:rowOff>9525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57150</xdr:colOff>
                    <xdr:row>14</xdr:row>
                    <xdr:rowOff>19050</xdr:rowOff>
                  </from>
                  <to>
                    <xdr:col>3</xdr:col>
                    <xdr:colOff>9525</xdr:colOff>
                    <xdr:row>15</xdr:row>
                    <xdr:rowOff>171450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57150</xdr:colOff>
                    <xdr:row>15</xdr:row>
                    <xdr:rowOff>171450</xdr:rowOff>
                  </from>
                  <to>
                    <xdr:col>3</xdr:col>
                    <xdr:colOff>9525</xdr:colOff>
                    <xdr:row>17</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xdr:col>
                    <xdr:colOff>57150</xdr:colOff>
                    <xdr:row>28</xdr:row>
                    <xdr:rowOff>57150</xdr:rowOff>
                  </from>
                  <to>
                    <xdr:col>3</xdr:col>
                    <xdr:colOff>9525</xdr:colOff>
                    <xdr:row>30</xdr:row>
                    <xdr:rowOff>9525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9525</xdr:colOff>
                    <xdr:row>30</xdr:row>
                    <xdr:rowOff>161925</xdr:rowOff>
                  </from>
                  <to>
                    <xdr:col>3</xdr:col>
                    <xdr:colOff>276225</xdr:colOff>
                    <xdr:row>31</xdr:row>
                    <xdr:rowOff>180975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2</xdr:col>
                    <xdr:colOff>57150</xdr:colOff>
                    <xdr:row>34</xdr:row>
                    <xdr:rowOff>161925</xdr:rowOff>
                  </from>
                  <to>
                    <xdr:col>3</xdr:col>
                    <xdr:colOff>9525</xdr:colOff>
                    <xdr:row>36</xdr:row>
                    <xdr:rowOff>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2</xdr:col>
                    <xdr:colOff>57150</xdr:colOff>
                    <xdr:row>39</xdr:row>
                    <xdr:rowOff>57150</xdr:rowOff>
                  </from>
                  <to>
                    <xdr:col>3</xdr:col>
                    <xdr:colOff>9525</xdr:colOff>
                    <xdr:row>41</xdr:row>
                    <xdr:rowOff>9525</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2</xdr:col>
                    <xdr:colOff>57150</xdr:colOff>
                    <xdr:row>44</xdr:row>
                    <xdr:rowOff>0</xdr:rowOff>
                  </from>
                  <to>
                    <xdr:col>3</xdr:col>
                    <xdr:colOff>9525</xdr:colOff>
                    <xdr:row>45</xdr:row>
                    <xdr:rowOff>28575</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3</xdr:col>
                    <xdr:colOff>0</xdr:colOff>
                    <xdr:row>40</xdr:row>
                    <xdr:rowOff>171450</xdr:rowOff>
                  </from>
                  <to>
                    <xdr:col>3</xdr:col>
                    <xdr:colOff>266700</xdr:colOff>
                    <xdr:row>42</xdr:row>
                    <xdr:rowOff>9525</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2</xdr:col>
                    <xdr:colOff>57150</xdr:colOff>
                    <xdr:row>36</xdr:row>
                    <xdr:rowOff>0</xdr:rowOff>
                  </from>
                  <to>
                    <xdr:col>3</xdr:col>
                    <xdr:colOff>9525</xdr:colOff>
                    <xdr:row>37</xdr:row>
                    <xdr:rowOff>28575</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2</xdr:col>
                    <xdr:colOff>57150</xdr:colOff>
                    <xdr:row>41</xdr:row>
                    <xdr:rowOff>171450</xdr:rowOff>
                  </from>
                  <to>
                    <xdr:col>3</xdr:col>
                    <xdr:colOff>9525</xdr:colOff>
                    <xdr:row>43</xdr:row>
                    <xdr:rowOff>9525</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2</xdr:col>
                    <xdr:colOff>57150</xdr:colOff>
                    <xdr:row>42</xdr:row>
                    <xdr:rowOff>171450</xdr:rowOff>
                  </from>
                  <to>
                    <xdr:col>3</xdr:col>
                    <xdr:colOff>9525</xdr:colOff>
                    <xdr:row>44</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2</xdr:col>
                    <xdr:colOff>57150</xdr:colOff>
                    <xdr:row>47</xdr:row>
                    <xdr:rowOff>38100</xdr:rowOff>
                  </from>
                  <to>
                    <xdr:col>3</xdr:col>
                    <xdr:colOff>9525</xdr:colOff>
                    <xdr:row>48</xdr:row>
                    <xdr:rowOff>180975</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2</xdr:col>
                    <xdr:colOff>57150</xdr:colOff>
                    <xdr:row>53</xdr:row>
                    <xdr:rowOff>171450</xdr:rowOff>
                  </from>
                  <to>
                    <xdr:col>3</xdr:col>
                    <xdr:colOff>9525</xdr:colOff>
                    <xdr:row>55</xdr:row>
                    <xdr:rowOff>9525</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3</xdr:col>
                    <xdr:colOff>9525</xdr:colOff>
                    <xdr:row>49</xdr:row>
                    <xdr:rowOff>171450</xdr:rowOff>
                  </from>
                  <to>
                    <xdr:col>3</xdr:col>
                    <xdr:colOff>276225</xdr:colOff>
                    <xdr:row>51</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2</xdr:col>
                    <xdr:colOff>57150</xdr:colOff>
                    <xdr:row>52</xdr:row>
                    <xdr:rowOff>180975</xdr:rowOff>
                  </from>
                  <to>
                    <xdr:col>3</xdr:col>
                    <xdr:colOff>9525</xdr:colOff>
                    <xdr:row>54</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3</xdr:col>
                    <xdr:colOff>9525</xdr:colOff>
                    <xdr:row>50</xdr:row>
                    <xdr:rowOff>171450</xdr:rowOff>
                  </from>
                  <to>
                    <xdr:col>3</xdr:col>
                    <xdr:colOff>276225</xdr:colOff>
                    <xdr:row>52</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3</xdr:col>
                    <xdr:colOff>9525</xdr:colOff>
                    <xdr:row>48</xdr:row>
                    <xdr:rowOff>161925</xdr:rowOff>
                  </from>
                  <to>
                    <xdr:col>3</xdr:col>
                    <xdr:colOff>276225</xdr:colOff>
                    <xdr:row>49</xdr:row>
                    <xdr:rowOff>180975</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3</xdr:col>
                    <xdr:colOff>9525</xdr:colOff>
                    <xdr:row>51</xdr:row>
                    <xdr:rowOff>171450</xdr:rowOff>
                  </from>
                  <to>
                    <xdr:col>3</xdr:col>
                    <xdr:colOff>276225</xdr:colOff>
                    <xdr:row>53</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2</xdr:col>
                    <xdr:colOff>57150</xdr:colOff>
                    <xdr:row>57</xdr:row>
                    <xdr:rowOff>47625</xdr:rowOff>
                  </from>
                  <to>
                    <xdr:col>3</xdr:col>
                    <xdr:colOff>9525</xdr:colOff>
                    <xdr:row>59</xdr:row>
                    <xdr:rowOff>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2</xdr:col>
                    <xdr:colOff>57150</xdr:colOff>
                    <xdr:row>60</xdr:row>
                    <xdr:rowOff>171450</xdr:rowOff>
                  </from>
                  <to>
                    <xdr:col>3</xdr:col>
                    <xdr:colOff>9525</xdr:colOff>
                    <xdr:row>62</xdr:row>
                    <xdr:rowOff>9525</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3</xdr:col>
                    <xdr:colOff>19050</xdr:colOff>
                    <xdr:row>58</xdr:row>
                    <xdr:rowOff>171450</xdr:rowOff>
                  </from>
                  <to>
                    <xdr:col>3</xdr:col>
                    <xdr:colOff>285750</xdr:colOff>
                    <xdr:row>60</xdr:row>
                    <xdr:rowOff>9525</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3</xdr:col>
                    <xdr:colOff>19050</xdr:colOff>
                    <xdr:row>59</xdr:row>
                    <xdr:rowOff>171450</xdr:rowOff>
                  </from>
                  <to>
                    <xdr:col>3</xdr:col>
                    <xdr:colOff>285750</xdr:colOff>
                    <xdr:row>61</xdr:row>
                    <xdr:rowOff>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16</xdr:col>
                    <xdr:colOff>180975</xdr:colOff>
                    <xdr:row>14</xdr:row>
                    <xdr:rowOff>19050</xdr:rowOff>
                  </from>
                  <to>
                    <xdr:col>16</xdr:col>
                    <xdr:colOff>447675</xdr:colOff>
                    <xdr:row>15</xdr:row>
                    <xdr:rowOff>180975</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16</xdr:col>
                    <xdr:colOff>180975</xdr:colOff>
                    <xdr:row>15</xdr:row>
                    <xdr:rowOff>161925</xdr:rowOff>
                  </from>
                  <to>
                    <xdr:col>16</xdr:col>
                    <xdr:colOff>447675</xdr:colOff>
                    <xdr:row>16</xdr:row>
                    <xdr:rowOff>180975</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from>
                    <xdr:col>14</xdr:col>
                    <xdr:colOff>219075</xdr:colOff>
                    <xdr:row>20</xdr:row>
                    <xdr:rowOff>47625</xdr:rowOff>
                  </from>
                  <to>
                    <xdr:col>14</xdr:col>
                    <xdr:colOff>485775</xdr:colOff>
                    <xdr:row>22</xdr:row>
                    <xdr:rowOff>0</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16</xdr:col>
                    <xdr:colOff>209550</xdr:colOff>
                    <xdr:row>20</xdr:row>
                    <xdr:rowOff>57150</xdr:rowOff>
                  </from>
                  <to>
                    <xdr:col>16</xdr:col>
                    <xdr:colOff>476250</xdr:colOff>
                    <xdr:row>22</xdr:row>
                    <xdr:rowOff>9525</xdr:rowOff>
                  </to>
                </anchor>
              </controlPr>
            </control>
          </mc:Choice>
        </mc:AlternateContent>
        <mc:AlternateContent xmlns:mc="http://schemas.openxmlformats.org/markup-compatibility/2006">
          <mc:Choice Requires="x14">
            <control shapeId="1062" r:id="rId35" name="Check Box 38">
              <controlPr defaultSize="0" autoFill="0" autoLine="0" autoPict="0">
                <anchor moveWithCells="1">
                  <from>
                    <xdr:col>16</xdr:col>
                    <xdr:colOff>209550</xdr:colOff>
                    <xdr:row>21</xdr:row>
                    <xdr:rowOff>171450</xdr:rowOff>
                  </from>
                  <to>
                    <xdr:col>16</xdr:col>
                    <xdr:colOff>476250</xdr:colOff>
                    <xdr:row>23</xdr:row>
                    <xdr:rowOff>9525</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16</xdr:col>
                    <xdr:colOff>209550</xdr:colOff>
                    <xdr:row>23</xdr:row>
                    <xdr:rowOff>171450</xdr:rowOff>
                  </from>
                  <to>
                    <xdr:col>16</xdr:col>
                    <xdr:colOff>476250</xdr:colOff>
                    <xdr:row>25</xdr:row>
                    <xdr:rowOff>0</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from>
                    <xdr:col>16</xdr:col>
                    <xdr:colOff>209550</xdr:colOff>
                    <xdr:row>22</xdr:row>
                    <xdr:rowOff>161925</xdr:rowOff>
                  </from>
                  <to>
                    <xdr:col>16</xdr:col>
                    <xdr:colOff>476250</xdr:colOff>
                    <xdr:row>23</xdr:row>
                    <xdr:rowOff>180975</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16</xdr:col>
                    <xdr:colOff>219075</xdr:colOff>
                    <xdr:row>25</xdr:row>
                    <xdr:rowOff>0</xdr:rowOff>
                  </from>
                  <to>
                    <xdr:col>16</xdr:col>
                    <xdr:colOff>485775</xdr:colOff>
                    <xdr:row>26</xdr:row>
                    <xdr:rowOff>28575</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16</xdr:col>
                    <xdr:colOff>209550</xdr:colOff>
                    <xdr:row>28</xdr:row>
                    <xdr:rowOff>57150</xdr:rowOff>
                  </from>
                  <to>
                    <xdr:col>16</xdr:col>
                    <xdr:colOff>476250</xdr:colOff>
                    <xdr:row>30</xdr:row>
                    <xdr:rowOff>9525</xdr:rowOff>
                  </to>
                </anchor>
              </controlPr>
            </control>
          </mc:Choice>
        </mc:AlternateContent>
        <mc:AlternateContent xmlns:mc="http://schemas.openxmlformats.org/markup-compatibility/2006">
          <mc:Choice Requires="x14">
            <control shapeId="1067" r:id="rId40" name="Check Box 43">
              <controlPr defaultSize="0" autoFill="0" autoLine="0" autoPict="0">
                <anchor moveWithCells="1">
                  <from>
                    <xdr:col>16</xdr:col>
                    <xdr:colOff>209550</xdr:colOff>
                    <xdr:row>30</xdr:row>
                    <xdr:rowOff>171450</xdr:rowOff>
                  </from>
                  <to>
                    <xdr:col>16</xdr:col>
                    <xdr:colOff>476250</xdr:colOff>
                    <xdr:row>32</xdr:row>
                    <xdr:rowOff>9525</xdr:rowOff>
                  </to>
                </anchor>
              </controlPr>
            </control>
          </mc:Choice>
        </mc:AlternateContent>
        <mc:AlternateContent xmlns:mc="http://schemas.openxmlformats.org/markup-compatibility/2006">
          <mc:Choice Requires="x14">
            <control shapeId="1068" r:id="rId41" name="Check Box 44">
              <controlPr defaultSize="0" autoFill="0" autoLine="0" autoPict="0">
                <anchor moveWithCells="1">
                  <from>
                    <xdr:col>16</xdr:col>
                    <xdr:colOff>209550</xdr:colOff>
                    <xdr:row>32</xdr:row>
                    <xdr:rowOff>171450</xdr:rowOff>
                  </from>
                  <to>
                    <xdr:col>16</xdr:col>
                    <xdr:colOff>476250</xdr:colOff>
                    <xdr:row>34</xdr:row>
                    <xdr:rowOff>0</xdr:rowOff>
                  </to>
                </anchor>
              </controlPr>
            </control>
          </mc:Choice>
        </mc:AlternateContent>
        <mc:AlternateContent xmlns:mc="http://schemas.openxmlformats.org/markup-compatibility/2006">
          <mc:Choice Requires="x14">
            <control shapeId="1069" r:id="rId42" name="Check Box 45">
              <controlPr defaultSize="0" autoFill="0" autoLine="0" autoPict="0">
                <anchor moveWithCells="1">
                  <from>
                    <xdr:col>16</xdr:col>
                    <xdr:colOff>209550</xdr:colOff>
                    <xdr:row>34</xdr:row>
                    <xdr:rowOff>171450</xdr:rowOff>
                  </from>
                  <to>
                    <xdr:col>16</xdr:col>
                    <xdr:colOff>476250</xdr:colOff>
                    <xdr:row>36</xdr:row>
                    <xdr:rowOff>9525</xdr:rowOff>
                  </to>
                </anchor>
              </controlPr>
            </control>
          </mc:Choice>
        </mc:AlternateContent>
        <mc:AlternateContent xmlns:mc="http://schemas.openxmlformats.org/markup-compatibility/2006">
          <mc:Choice Requires="x14">
            <control shapeId="1073" r:id="rId43" name="Check Box 49">
              <controlPr defaultSize="0" autoFill="0" autoLine="0" autoPict="0">
                <anchor moveWithCells="1">
                  <from>
                    <xdr:col>16</xdr:col>
                    <xdr:colOff>209550</xdr:colOff>
                    <xdr:row>39</xdr:row>
                    <xdr:rowOff>57150</xdr:rowOff>
                  </from>
                  <to>
                    <xdr:col>16</xdr:col>
                    <xdr:colOff>476250</xdr:colOff>
                    <xdr:row>41</xdr:row>
                    <xdr:rowOff>9525</xdr:rowOff>
                  </to>
                </anchor>
              </controlPr>
            </control>
          </mc:Choice>
        </mc:AlternateContent>
        <mc:AlternateContent xmlns:mc="http://schemas.openxmlformats.org/markup-compatibility/2006">
          <mc:Choice Requires="x14">
            <control shapeId="1074" r:id="rId44" name="Check Box 50">
              <controlPr defaultSize="0" autoFill="0" autoLine="0" autoPict="0">
                <anchor moveWithCells="1">
                  <from>
                    <xdr:col>16</xdr:col>
                    <xdr:colOff>209550</xdr:colOff>
                    <xdr:row>40</xdr:row>
                    <xdr:rowOff>171450</xdr:rowOff>
                  </from>
                  <to>
                    <xdr:col>16</xdr:col>
                    <xdr:colOff>476250</xdr:colOff>
                    <xdr:row>42</xdr:row>
                    <xdr:rowOff>9525</xdr:rowOff>
                  </to>
                </anchor>
              </controlPr>
            </control>
          </mc:Choice>
        </mc:AlternateContent>
        <mc:AlternateContent xmlns:mc="http://schemas.openxmlformats.org/markup-compatibility/2006">
          <mc:Choice Requires="x14">
            <control shapeId="1075" r:id="rId45" name="Check Box 51">
              <controlPr defaultSize="0" autoFill="0" autoLine="0" autoPict="0">
                <anchor moveWithCells="1">
                  <from>
                    <xdr:col>16</xdr:col>
                    <xdr:colOff>209550</xdr:colOff>
                    <xdr:row>41</xdr:row>
                    <xdr:rowOff>171450</xdr:rowOff>
                  </from>
                  <to>
                    <xdr:col>16</xdr:col>
                    <xdr:colOff>476250</xdr:colOff>
                    <xdr:row>43</xdr:row>
                    <xdr:rowOff>0</xdr:rowOff>
                  </to>
                </anchor>
              </controlPr>
            </control>
          </mc:Choice>
        </mc:AlternateContent>
        <mc:AlternateContent xmlns:mc="http://schemas.openxmlformats.org/markup-compatibility/2006">
          <mc:Choice Requires="x14">
            <control shapeId="1076" r:id="rId46" name="Check Box 52">
              <controlPr defaultSize="0" autoFill="0" autoLine="0" autoPict="0">
                <anchor moveWithCells="1">
                  <from>
                    <xdr:col>16</xdr:col>
                    <xdr:colOff>209550</xdr:colOff>
                    <xdr:row>42</xdr:row>
                    <xdr:rowOff>171450</xdr:rowOff>
                  </from>
                  <to>
                    <xdr:col>16</xdr:col>
                    <xdr:colOff>476250</xdr:colOff>
                    <xdr:row>44</xdr:row>
                    <xdr:rowOff>9525</xdr:rowOff>
                  </to>
                </anchor>
              </controlPr>
            </control>
          </mc:Choice>
        </mc:AlternateContent>
        <mc:AlternateContent xmlns:mc="http://schemas.openxmlformats.org/markup-compatibility/2006">
          <mc:Choice Requires="x14">
            <control shapeId="1078" r:id="rId47" name="Check Box 54">
              <controlPr defaultSize="0" autoFill="0" autoLine="0" autoPict="0">
                <anchor moveWithCells="1">
                  <from>
                    <xdr:col>16</xdr:col>
                    <xdr:colOff>219075</xdr:colOff>
                    <xdr:row>44</xdr:row>
                    <xdr:rowOff>0</xdr:rowOff>
                  </from>
                  <to>
                    <xdr:col>16</xdr:col>
                    <xdr:colOff>485775</xdr:colOff>
                    <xdr:row>45</xdr:row>
                    <xdr:rowOff>28575</xdr:rowOff>
                  </to>
                </anchor>
              </controlPr>
            </control>
          </mc:Choice>
        </mc:AlternateContent>
        <mc:AlternateContent xmlns:mc="http://schemas.openxmlformats.org/markup-compatibility/2006">
          <mc:Choice Requires="x14">
            <control shapeId="1079" r:id="rId48" name="Check Box 55">
              <controlPr defaultSize="0" autoFill="0" autoLine="0" autoPict="0">
                <anchor moveWithCells="1">
                  <from>
                    <xdr:col>16</xdr:col>
                    <xdr:colOff>209550</xdr:colOff>
                    <xdr:row>47</xdr:row>
                    <xdr:rowOff>57150</xdr:rowOff>
                  </from>
                  <to>
                    <xdr:col>16</xdr:col>
                    <xdr:colOff>476250</xdr:colOff>
                    <xdr:row>49</xdr:row>
                    <xdr:rowOff>9525</xdr:rowOff>
                  </to>
                </anchor>
              </controlPr>
            </control>
          </mc:Choice>
        </mc:AlternateContent>
        <mc:AlternateContent xmlns:mc="http://schemas.openxmlformats.org/markup-compatibility/2006">
          <mc:Choice Requires="x14">
            <control shapeId="1080" r:id="rId49" name="Check Box 56">
              <controlPr defaultSize="0" autoFill="0" autoLine="0" autoPict="0">
                <anchor moveWithCells="1">
                  <from>
                    <xdr:col>16</xdr:col>
                    <xdr:colOff>209550</xdr:colOff>
                    <xdr:row>48</xdr:row>
                    <xdr:rowOff>171450</xdr:rowOff>
                  </from>
                  <to>
                    <xdr:col>16</xdr:col>
                    <xdr:colOff>476250</xdr:colOff>
                    <xdr:row>50</xdr:row>
                    <xdr:rowOff>9525</xdr:rowOff>
                  </to>
                </anchor>
              </controlPr>
            </control>
          </mc:Choice>
        </mc:AlternateContent>
        <mc:AlternateContent xmlns:mc="http://schemas.openxmlformats.org/markup-compatibility/2006">
          <mc:Choice Requires="x14">
            <control shapeId="1081" r:id="rId50" name="Check Box 57">
              <controlPr defaultSize="0" autoFill="0" autoLine="0" autoPict="0">
                <anchor moveWithCells="1">
                  <from>
                    <xdr:col>16</xdr:col>
                    <xdr:colOff>209550</xdr:colOff>
                    <xdr:row>49</xdr:row>
                    <xdr:rowOff>171450</xdr:rowOff>
                  </from>
                  <to>
                    <xdr:col>16</xdr:col>
                    <xdr:colOff>476250</xdr:colOff>
                    <xdr:row>51</xdr:row>
                    <xdr:rowOff>0</xdr:rowOff>
                  </to>
                </anchor>
              </controlPr>
            </control>
          </mc:Choice>
        </mc:AlternateContent>
        <mc:AlternateContent xmlns:mc="http://schemas.openxmlformats.org/markup-compatibility/2006">
          <mc:Choice Requires="x14">
            <control shapeId="1082" r:id="rId51" name="Check Box 58">
              <controlPr defaultSize="0" autoFill="0" autoLine="0" autoPict="0">
                <anchor moveWithCells="1">
                  <from>
                    <xdr:col>16</xdr:col>
                    <xdr:colOff>209550</xdr:colOff>
                    <xdr:row>50</xdr:row>
                    <xdr:rowOff>171450</xdr:rowOff>
                  </from>
                  <to>
                    <xdr:col>16</xdr:col>
                    <xdr:colOff>476250</xdr:colOff>
                    <xdr:row>52</xdr:row>
                    <xdr:rowOff>9525</xdr:rowOff>
                  </to>
                </anchor>
              </controlPr>
            </control>
          </mc:Choice>
        </mc:AlternateContent>
        <mc:AlternateContent xmlns:mc="http://schemas.openxmlformats.org/markup-compatibility/2006">
          <mc:Choice Requires="x14">
            <control shapeId="1083" r:id="rId52" name="Check Box 59">
              <controlPr defaultSize="0" autoFill="0" autoLine="0" autoPict="0">
                <anchor moveWithCells="1">
                  <from>
                    <xdr:col>16</xdr:col>
                    <xdr:colOff>219075</xdr:colOff>
                    <xdr:row>51</xdr:row>
                    <xdr:rowOff>180975</xdr:rowOff>
                  </from>
                  <to>
                    <xdr:col>16</xdr:col>
                    <xdr:colOff>485775</xdr:colOff>
                    <xdr:row>53</xdr:row>
                    <xdr:rowOff>19050</xdr:rowOff>
                  </to>
                </anchor>
              </controlPr>
            </control>
          </mc:Choice>
        </mc:AlternateContent>
        <mc:AlternateContent xmlns:mc="http://schemas.openxmlformats.org/markup-compatibility/2006">
          <mc:Choice Requires="x14">
            <control shapeId="1084" r:id="rId53" name="Check Box 60">
              <controlPr defaultSize="0" autoFill="0" autoLine="0" autoPict="0">
                <anchor moveWithCells="1">
                  <from>
                    <xdr:col>16</xdr:col>
                    <xdr:colOff>219075</xdr:colOff>
                    <xdr:row>52</xdr:row>
                    <xdr:rowOff>180975</xdr:rowOff>
                  </from>
                  <to>
                    <xdr:col>16</xdr:col>
                    <xdr:colOff>485775</xdr:colOff>
                    <xdr:row>54</xdr:row>
                    <xdr:rowOff>19050</xdr:rowOff>
                  </to>
                </anchor>
              </controlPr>
            </control>
          </mc:Choice>
        </mc:AlternateContent>
        <mc:AlternateContent xmlns:mc="http://schemas.openxmlformats.org/markup-compatibility/2006">
          <mc:Choice Requires="x14">
            <control shapeId="1085" r:id="rId54" name="Check Box 61">
              <controlPr defaultSize="0" autoFill="0" autoLine="0" autoPict="0">
                <anchor moveWithCells="1">
                  <from>
                    <xdr:col>16</xdr:col>
                    <xdr:colOff>219075</xdr:colOff>
                    <xdr:row>53</xdr:row>
                    <xdr:rowOff>180975</xdr:rowOff>
                  </from>
                  <to>
                    <xdr:col>16</xdr:col>
                    <xdr:colOff>485775</xdr:colOff>
                    <xdr:row>55</xdr:row>
                    <xdr:rowOff>19050</xdr:rowOff>
                  </to>
                </anchor>
              </controlPr>
            </control>
          </mc:Choice>
        </mc:AlternateContent>
        <mc:AlternateContent xmlns:mc="http://schemas.openxmlformats.org/markup-compatibility/2006">
          <mc:Choice Requires="x14">
            <control shapeId="1090" r:id="rId55" name="Check Box 66">
              <controlPr defaultSize="0" autoFill="0" autoLine="0" autoPict="0">
                <anchor moveWithCells="1">
                  <from>
                    <xdr:col>16</xdr:col>
                    <xdr:colOff>209550</xdr:colOff>
                    <xdr:row>57</xdr:row>
                    <xdr:rowOff>57150</xdr:rowOff>
                  </from>
                  <to>
                    <xdr:col>16</xdr:col>
                    <xdr:colOff>476250</xdr:colOff>
                    <xdr:row>59</xdr:row>
                    <xdr:rowOff>9525</xdr:rowOff>
                  </to>
                </anchor>
              </controlPr>
            </control>
          </mc:Choice>
        </mc:AlternateContent>
        <mc:AlternateContent xmlns:mc="http://schemas.openxmlformats.org/markup-compatibility/2006">
          <mc:Choice Requires="x14">
            <control shapeId="1091" r:id="rId56" name="Check Box 67">
              <controlPr defaultSize="0" autoFill="0" autoLine="0" autoPict="0">
                <anchor moveWithCells="1">
                  <from>
                    <xdr:col>16</xdr:col>
                    <xdr:colOff>209550</xdr:colOff>
                    <xdr:row>58</xdr:row>
                    <xdr:rowOff>171450</xdr:rowOff>
                  </from>
                  <to>
                    <xdr:col>16</xdr:col>
                    <xdr:colOff>476250</xdr:colOff>
                    <xdr:row>60</xdr:row>
                    <xdr:rowOff>9525</xdr:rowOff>
                  </to>
                </anchor>
              </controlPr>
            </control>
          </mc:Choice>
        </mc:AlternateContent>
        <mc:AlternateContent xmlns:mc="http://schemas.openxmlformats.org/markup-compatibility/2006">
          <mc:Choice Requires="x14">
            <control shapeId="1092" r:id="rId57" name="Check Box 68">
              <controlPr defaultSize="0" autoFill="0" autoLine="0" autoPict="0">
                <anchor moveWithCells="1">
                  <from>
                    <xdr:col>16</xdr:col>
                    <xdr:colOff>209550</xdr:colOff>
                    <xdr:row>59</xdr:row>
                    <xdr:rowOff>171450</xdr:rowOff>
                  </from>
                  <to>
                    <xdr:col>16</xdr:col>
                    <xdr:colOff>476250</xdr:colOff>
                    <xdr:row>61</xdr:row>
                    <xdr:rowOff>0</xdr:rowOff>
                  </to>
                </anchor>
              </controlPr>
            </control>
          </mc:Choice>
        </mc:AlternateContent>
        <mc:AlternateContent xmlns:mc="http://schemas.openxmlformats.org/markup-compatibility/2006">
          <mc:Choice Requires="x14">
            <control shapeId="1093" r:id="rId58" name="Check Box 69">
              <controlPr defaultSize="0" autoFill="0" autoLine="0" autoPict="0">
                <anchor moveWithCells="1">
                  <from>
                    <xdr:col>16</xdr:col>
                    <xdr:colOff>209550</xdr:colOff>
                    <xdr:row>60</xdr:row>
                    <xdr:rowOff>171450</xdr:rowOff>
                  </from>
                  <to>
                    <xdr:col>16</xdr:col>
                    <xdr:colOff>476250</xdr:colOff>
                    <xdr:row>62</xdr:row>
                    <xdr:rowOff>9525</xdr:rowOff>
                  </to>
                </anchor>
              </controlPr>
            </control>
          </mc:Choice>
        </mc:AlternateContent>
        <mc:AlternateContent xmlns:mc="http://schemas.openxmlformats.org/markup-compatibility/2006">
          <mc:Choice Requires="x14">
            <control shapeId="1094" r:id="rId59" name="Check Box 70">
              <controlPr defaultSize="0" autoFill="0" autoLine="0" autoPict="0">
                <anchor moveWithCells="1">
                  <from>
                    <xdr:col>14</xdr:col>
                    <xdr:colOff>266700</xdr:colOff>
                    <xdr:row>40</xdr:row>
                    <xdr:rowOff>19050</xdr:rowOff>
                  </from>
                  <to>
                    <xdr:col>14</xdr:col>
                    <xdr:colOff>533400</xdr:colOff>
                    <xdr:row>41</xdr:row>
                    <xdr:rowOff>38100</xdr:rowOff>
                  </to>
                </anchor>
              </controlPr>
            </control>
          </mc:Choice>
        </mc:AlternateContent>
        <mc:AlternateContent xmlns:mc="http://schemas.openxmlformats.org/markup-compatibility/2006">
          <mc:Choice Requires="x14">
            <control shapeId="1095" r:id="rId60" name="Check Box 71">
              <controlPr defaultSize="0" autoFill="0" autoLine="0" autoPict="0">
                <anchor moveWithCells="1">
                  <from>
                    <xdr:col>16</xdr:col>
                    <xdr:colOff>219075</xdr:colOff>
                    <xdr:row>36</xdr:row>
                    <xdr:rowOff>0</xdr:rowOff>
                  </from>
                  <to>
                    <xdr:col>16</xdr:col>
                    <xdr:colOff>485775</xdr:colOff>
                    <xdr:row>37</xdr:row>
                    <xdr:rowOff>28575</xdr:rowOff>
                  </to>
                </anchor>
              </controlPr>
            </control>
          </mc:Choice>
        </mc:AlternateContent>
        <mc:AlternateContent xmlns:mc="http://schemas.openxmlformats.org/markup-compatibility/2006">
          <mc:Choice Requires="x14">
            <control shapeId="1096" r:id="rId61" name="Check Box 72">
              <controlPr defaultSize="0" autoFill="0" autoLine="0" autoPict="0">
                <anchor moveWithCells="1">
                  <from>
                    <xdr:col>3</xdr:col>
                    <xdr:colOff>9525</xdr:colOff>
                    <xdr:row>30</xdr:row>
                    <xdr:rowOff>0</xdr:rowOff>
                  </from>
                  <to>
                    <xdr:col>3</xdr:col>
                    <xdr:colOff>285750</xdr:colOff>
                    <xdr:row>31</xdr:row>
                    <xdr:rowOff>19050</xdr:rowOff>
                  </to>
                </anchor>
              </controlPr>
            </control>
          </mc:Choice>
        </mc:AlternateContent>
        <mc:AlternateContent xmlns:mc="http://schemas.openxmlformats.org/markup-compatibility/2006">
          <mc:Choice Requires="x14">
            <control shapeId="1097" r:id="rId62" name="Check Box 73">
              <controlPr defaultSize="0" autoFill="0" autoLine="0" autoPict="0">
                <anchor moveWithCells="1">
                  <from>
                    <xdr:col>16</xdr:col>
                    <xdr:colOff>209550</xdr:colOff>
                    <xdr:row>29</xdr:row>
                    <xdr:rowOff>161925</xdr:rowOff>
                  </from>
                  <to>
                    <xdr:col>16</xdr:col>
                    <xdr:colOff>476250</xdr:colOff>
                    <xdr:row>30</xdr:row>
                    <xdr:rowOff>180975</xdr:rowOff>
                  </to>
                </anchor>
              </controlPr>
            </control>
          </mc:Choice>
        </mc:AlternateContent>
        <mc:AlternateContent xmlns:mc="http://schemas.openxmlformats.org/markup-compatibility/2006">
          <mc:Choice Requires="x14">
            <control shapeId="1098" r:id="rId63" name="Check Box 74">
              <controlPr defaultSize="0" autoFill="0" autoLine="0" autoPict="0">
                <anchor moveWithCells="1">
                  <from>
                    <xdr:col>3</xdr:col>
                    <xdr:colOff>9525</xdr:colOff>
                    <xdr:row>31</xdr:row>
                    <xdr:rowOff>152400</xdr:rowOff>
                  </from>
                  <to>
                    <xdr:col>3</xdr:col>
                    <xdr:colOff>276225</xdr:colOff>
                    <xdr:row>32</xdr:row>
                    <xdr:rowOff>171450</xdr:rowOff>
                  </to>
                </anchor>
              </controlPr>
            </control>
          </mc:Choice>
        </mc:AlternateContent>
        <mc:AlternateContent xmlns:mc="http://schemas.openxmlformats.org/markup-compatibility/2006">
          <mc:Choice Requires="x14">
            <control shapeId="1099" r:id="rId64" name="Check Box 75">
              <controlPr defaultSize="0" autoFill="0" autoLine="0" autoPict="0">
                <anchor moveWithCells="1">
                  <from>
                    <xdr:col>16</xdr:col>
                    <xdr:colOff>209550</xdr:colOff>
                    <xdr:row>31</xdr:row>
                    <xdr:rowOff>171450</xdr:rowOff>
                  </from>
                  <to>
                    <xdr:col>16</xdr:col>
                    <xdr:colOff>476250</xdr:colOff>
                    <xdr:row>33</xdr:row>
                    <xdr:rowOff>0</xdr:rowOff>
                  </to>
                </anchor>
              </controlPr>
            </control>
          </mc:Choice>
        </mc:AlternateContent>
        <mc:AlternateContent xmlns:mc="http://schemas.openxmlformats.org/markup-compatibility/2006">
          <mc:Choice Requires="x14">
            <control shapeId="1100" r:id="rId65" name="Check Box 76">
              <controlPr defaultSize="0" autoFill="0" autoLine="0" autoPict="0">
                <anchor moveWithCells="1">
                  <from>
                    <xdr:col>2</xdr:col>
                    <xdr:colOff>57150</xdr:colOff>
                    <xdr:row>22</xdr:row>
                    <xdr:rowOff>171450</xdr:rowOff>
                  </from>
                  <to>
                    <xdr:col>3</xdr:col>
                    <xdr:colOff>9525</xdr:colOff>
                    <xdr:row>24</xdr:row>
                    <xdr:rowOff>9525</xdr:rowOff>
                  </to>
                </anchor>
              </controlPr>
            </control>
          </mc:Choice>
        </mc:AlternateContent>
        <mc:AlternateContent xmlns:mc="http://schemas.openxmlformats.org/markup-compatibility/2006">
          <mc:Choice Requires="x14">
            <control shapeId="1101" r:id="rId66" name="Check Box 77">
              <controlPr defaultSize="0" autoFill="0" autoLine="0" autoPict="0">
                <anchor moveWithCells="1">
                  <from>
                    <xdr:col>16</xdr:col>
                    <xdr:colOff>209550</xdr:colOff>
                    <xdr:row>21</xdr:row>
                    <xdr:rowOff>171450</xdr:rowOff>
                  </from>
                  <to>
                    <xdr:col>16</xdr:col>
                    <xdr:colOff>476250</xdr:colOff>
                    <xdr:row>23</xdr:row>
                    <xdr:rowOff>9525</xdr:rowOff>
                  </to>
                </anchor>
              </controlPr>
            </control>
          </mc:Choice>
        </mc:AlternateContent>
        <mc:AlternateContent xmlns:mc="http://schemas.openxmlformats.org/markup-compatibility/2006">
          <mc:Choice Requires="x14">
            <control shapeId="1102" r:id="rId67" name="Check Box 78">
              <controlPr defaultSize="0" autoFill="0" autoLine="0" autoPict="0">
                <anchor moveWithCells="1">
                  <from>
                    <xdr:col>2</xdr:col>
                    <xdr:colOff>57150</xdr:colOff>
                    <xdr:row>33</xdr:row>
                    <xdr:rowOff>171450</xdr:rowOff>
                  </from>
                  <to>
                    <xdr:col>3</xdr:col>
                    <xdr:colOff>19050</xdr:colOff>
                    <xdr:row>35</xdr:row>
                    <xdr:rowOff>0</xdr:rowOff>
                  </to>
                </anchor>
              </controlPr>
            </control>
          </mc:Choice>
        </mc:AlternateContent>
        <mc:AlternateContent xmlns:mc="http://schemas.openxmlformats.org/markup-compatibility/2006">
          <mc:Choice Requires="x14">
            <control shapeId="1103" r:id="rId68" name="Check Box 79">
              <controlPr defaultSize="0" autoFill="0" autoLine="0" autoPict="0">
                <anchor moveWithCells="1">
                  <from>
                    <xdr:col>16</xdr:col>
                    <xdr:colOff>209550</xdr:colOff>
                    <xdr:row>33</xdr:row>
                    <xdr:rowOff>171450</xdr:rowOff>
                  </from>
                  <to>
                    <xdr:col>16</xdr:col>
                    <xdr:colOff>476250</xdr:colOff>
                    <xdr:row>35</xdr:row>
                    <xdr:rowOff>0</xdr:rowOff>
                  </to>
                </anchor>
              </controlPr>
            </control>
          </mc:Choice>
        </mc:AlternateContent>
        <mc:AlternateContent xmlns:mc="http://schemas.openxmlformats.org/markup-compatibility/2006">
          <mc:Choice Requires="x14">
            <control shapeId="1104" r:id="rId69" name="Check Box 80">
              <controlPr defaultSize="0" autoFill="0" autoLine="0" autoPict="0">
                <anchor moveWithCells="1">
                  <from>
                    <xdr:col>3</xdr:col>
                    <xdr:colOff>9525</xdr:colOff>
                    <xdr:row>32</xdr:row>
                    <xdr:rowOff>161925</xdr:rowOff>
                  </from>
                  <to>
                    <xdr:col>3</xdr:col>
                    <xdr:colOff>285750</xdr:colOff>
                    <xdr:row>33</xdr:row>
                    <xdr:rowOff>190500</xdr:rowOff>
                  </to>
                </anchor>
              </controlPr>
            </control>
          </mc:Choice>
        </mc:AlternateContent>
        <mc:AlternateContent xmlns:mc="http://schemas.openxmlformats.org/markup-compatibility/2006">
          <mc:Choice Requires="x14">
            <control shapeId="1105" r:id="rId70" name="Check Box 81">
              <controlPr defaultSize="0" autoFill="0" autoLine="0" autoPict="0">
                <anchor moveWithCells="1">
                  <from>
                    <xdr:col>16</xdr:col>
                    <xdr:colOff>209550</xdr:colOff>
                    <xdr:row>32</xdr:row>
                    <xdr:rowOff>171450</xdr:rowOff>
                  </from>
                  <to>
                    <xdr:col>16</xdr:col>
                    <xdr:colOff>476250</xdr:colOff>
                    <xdr:row>34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3" tint="0.749992370372631"/>
  </sheetPr>
  <dimension ref="B1:AQ59"/>
  <sheetViews>
    <sheetView showGridLines="0" zoomScaleNormal="100" workbookViewId="0">
      <selection activeCell="M25" sqref="M25:S29"/>
    </sheetView>
  </sheetViews>
  <sheetFormatPr defaultColWidth="8.85546875" defaultRowHeight="15" x14ac:dyDescent="0.25"/>
  <cols>
    <col min="1" max="1" width="41.42578125" style="3" customWidth="1"/>
    <col min="2" max="2" width="3.7109375" style="3" customWidth="1"/>
    <col min="3" max="3" width="5.28515625" style="3" customWidth="1"/>
    <col min="4" max="4" width="16.28515625" style="3" customWidth="1"/>
    <col min="5" max="5" width="4.85546875" style="3" customWidth="1"/>
    <col min="6" max="6" width="16.28515625" style="3" customWidth="1"/>
    <col min="7" max="7" width="1.42578125" style="3" customWidth="1"/>
    <col min="8" max="8" width="3" style="3" customWidth="1"/>
    <col min="9" max="9" width="2.7109375" style="3" customWidth="1"/>
    <col min="10" max="10" width="7.140625" style="3" customWidth="1"/>
    <col min="11" max="11" width="2.7109375" style="3" customWidth="1"/>
    <col min="12" max="12" width="1.28515625" style="3" customWidth="1"/>
    <col min="13" max="13" width="7.28515625" style="3" customWidth="1"/>
    <col min="14" max="14" width="1" style="3" customWidth="1"/>
    <col min="15" max="15" width="10.28515625" style="3" customWidth="1"/>
    <col min="16" max="16" width="2.28515625" style="3" customWidth="1"/>
    <col min="17" max="17" width="7.42578125" style="3" customWidth="1"/>
    <col min="18" max="18" width="1.42578125" style="3" customWidth="1"/>
    <col min="19" max="19" width="13.7109375" style="3" customWidth="1"/>
    <col min="20" max="20" width="3.7109375" style="3" customWidth="1"/>
    <col min="21" max="16384" width="8.85546875" style="3"/>
  </cols>
  <sheetData>
    <row r="1" spans="2:43" ht="24.6" customHeight="1" x14ac:dyDescent="0.25"/>
    <row r="2" spans="2:43" s="6" customFormat="1" ht="21.75" customHeight="1" x14ac:dyDescent="0.25">
      <c r="B2" s="17"/>
      <c r="C2" s="17"/>
      <c r="D2" s="17"/>
      <c r="E2" s="17"/>
      <c r="F2" s="17"/>
      <c r="G2" s="17"/>
      <c r="H2" s="17"/>
      <c r="I2" s="17"/>
      <c r="J2" s="17"/>
      <c r="K2" s="17"/>
      <c r="L2" s="17"/>
      <c r="M2" s="17"/>
      <c r="N2" s="17"/>
      <c r="O2" s="17"/>
      <c r="P2" s="17"/>
      <c r="Q2" s="17"/>
      <c r="R2" s="17"/>
      <c r="S2" s="17"/>
      <c r="T2" s="17"/>
    </row>
    <row r="3" spans="2:43" s="6" customFormat="1" ht="15.75" x14ac:dyDescent="0.25">
      <c r="B3" s="17"/>
      <c r="C3" s="18"/>
      <c r="D3" s="19"/>
      <c r="E3" s="115"/>
      <c r="F3" s="478" t="s">
        <v>0</v>
      </c>
      <c r="G3" s="479"/>
      <c r="H3" s="479"/>
      <c r="I3" s="479"/>
      <c r="J3" s="479"/>
      <c r="K3" s="479"/>
      <c r="L3" s="479"/>
      <c r="M3" s="479"/>
      <c r="N3" s="479"/>
      <c r="O3" s="480"/>
      <c r="P3" s="62"/>
      <c r="Q3" s="20"/>
      <c r="R3" s="20"/>
      <c r="S3" s="20"/>
      <c r="T3" s="17"/>
      <c r="AA3" s="7"/>
      <c r="AB3" s="8"/>
      <c r="AC3" s="8"/>
    </row>
    <row r="4" spans="2:43" s="6" customFormat="1" ht="22.5" customHeight="1" x14ac:dyDescent="0.25">
      <c r="B4" s="17"/>
      <c r="C4" s="410"/>
      <c r="D4" s="410"/>
      <c r="E4" s="115"/>
      <c r="F4" s="435" t="s">
        <v>27</v>
      </c>
      <c r="G4" s="436"/>
      <c r="H4" s="436"/>
      <c r="I4" s="436"/>
      <c r="J4" s="436"/>
      <c r="K4" s="436"/>
      <c r="L4" s="436"/>
      <c r="M4" s="436"/>
      <c r="N4" s="436"/>
      <c r="O4" s="437"/>
      <c r="P4" s="413" t="s">
        <v>1240</v>
      </c>
      <c r="Q4" s="414"/>
      <c r="R4" s="414"/>
      <c r="S4" s="414"/>
      <c r="T4" s="17"/>
      <c r="AA4" s="53"/>
      <c r="AB4" s="53"/>
      <c r="AC4" s="53"/>
      <c r="AE4" s="54"/>
      <c r="AF4" s="54"/>
      <c r="AG4" s="54"/>
      <c r="AH4" s="54"/>
      <c r="AI4" s="54"/>
      <c r="AJ4" s="54"/>
      <c r="AK4" s="54"/>
      <c r="AL4" s="54"/>
      <c r="AM4" s="54"/>
      <c r="AN4" s="9"/>
      <c r="AO4" s="55"/>
      <c r="AP4" s="55"/>
      <c r="AQ4" s="55"/>
    </row>
    <row r="5" spans="2:43" s="6" customFormat="1" ht="15.75" customHeight="1" x14ac:dyDescent="0.25">
      <c r="B5" s="17"/>
      <c r="C5" s="410"/>
      <c r="D5" s="410"/>
      <c r="E5" s="115"/>
      <c r="F5" s="438" t="s">
        <v>31</v>
      </c>
      <c r="G5" s="415"/>
      <c r="H5" s="415"/>
      <c r="I5" s="415"/>
      <c r="J5" s="415"/>
      <c r="K5" s="415"/>
      <c r="L5" s="415"/>
      <c r="M5" s="415"/>
      <c r="N5" s="415"/>
      <c r="O5" s="439"/>
      <c r="P5" s="416">
        <v>2024</v>
      </c>
      <c r="Q5" s="417"/>
      <c r="R5" s="417"/>
      <c r="S5" s="417"/>
      <c r="T5" s="17"/>
      <c r="AA5" s="53"/>
      <c r="AB5" s="53"/>
      <c r="AC5" s="53"/>
      <c r="AE5" s="56"/>
      <c r="AF5" s="56"/>
      <c r="AG5" s="56"/>
      <c r="AH5" s="56"/>
      <c r="AI5" s="56"/>
      <c r="AJ5" s="56"/>
      <c r="AK5" s="56"/>
      <c r="AL5" s="56"/>
      <c r="AM5" s="56"/>
      <c r="AN5" s="10"/>
      <c r="AO5" s="57"/>
      <c r="AP5" s="57"/>
      <c r="AQ5" s="57"/>
    </row>
    <row r="6" spans="2:43" s="6" customFormat="1" ht="13.9" customHeight="1" x14ac:dyDescent="0.25">
      <c r="B6" s="17"/>
      <c r="C6" s="410"/>
      <c r="D6" s="410"/>
      <c r="E6" s="115"/>
      <c r="F6" s="440" t="s">
        <v>32</v>
      </c>
      <c r="G6" s="441"/>
      <c r="H6" s="441"/>
      <c r="I6" s="441"/>
      <c r="J6" s="441"/>
      <c r="K6" s="441"/>
      <c r="L6" s="441"/>
      <c r="M6" s="441"/>
      <c r="N6" s="441"/>
      <c r="O6" s="442"/>
      <c r="P6" s="418"/>
      <c r="Q6" s="419"/>
      <c r="R6" s="419"/>
      <c r="S6" s="419"/>
      <c r="T6" s="17"/>
      <c r="AA6" s="53"/>
      <c r="AB6" s="53"/>
      <c r="AC6" s="53"/>
      <c r="AE6" s="58"/>
      <c r="AF6" s="58"/>
      <c r="AG6" s="58"/>
      <c r="AH6" s="58"/>
      <c r="AI6" s="58"/>
      <c r="AJ6" s="58"/>
      <c r="AK6" s="58"/>
      <c r="AL6" s="58"/>
      <c r="AM6" s="58"/>
      <c r="AN6" s="11"/>
      <c r="AO6" s="57"/>
      <c r="AP6" s="57"/>
      <c r="AQ6" s="57"/>
    </row>
    <row r="7" spans="2:43" s="6" customFormat="1" ht="15.75" customHeight="1" thickBot="1" x14ac:dyDescent="0.3">
      <c r="B7" s="17"/>
      <c r="C7" s="24"/>
      <c r="D7" s="25"/>
      <c r="E7" s="26"/>
      <c r="F7" s="443"/>
      <c r="G7" s="444"/>
      <c r="H7" s="444"/>
      <c r="I7" s="444"/>
      <c r="J7" s="444"/>
      <c r="K7" s="444"/>
      <c r="L7" s="444"/>
      <c r="M7" s="444"/>
      <c r="N7" s="444"/>
      <c r="O7" s="445"/>
      <c r="P7" s="423" t="s">
        <v>1</v>
      </c>
      <c r="Q7" s="424"/>
      <c r="R7" s="424"/>
      <c r="S7" s="424"/>
      <c r="T7" s="17"/>
      <c r="AA7" s="59"/>
      <c r="AE7" s="58"/>
      <c r="AF7" s="58"/>
      <c r="AG7" s="58"/>
      <c r="AH7" s="58"/>
      <c r="AI7" s="58"/>
      <c r="AJ7" s="58"/>
      <c r="AK7" s="58"/>
      <c r="AL7" s="58"/>
      <c r="AM7" s="58"/>
      <c r="AN7" s="11"/>
    </row>
    <row r="8" spans="2:43" s="6" customFormat="1" ht="10.9" customHeight="1" thickBot="1" x14ac:dyDescent="0.3">
      <c r="B8" s="17"/>
      <c r="C8" s="17"/>
      <c r="D8" s="17"/>
      <c r="E8" s="17"/>
      <c r="F8" s="17"/>
      <c r="G8" s="17"/>
      <c r="H8" s="17"/>
      <c r="I8" s="17"/>
      <c r="J8" s="17"/>
      <c r="K8" s="17"/>
      <c r="L8" s="17"/>
      <c r="M8" s="17"/>
      <c r="N8" s="17"/>
      <c r="O8" s="17"/>
      <c r="P8" s="17"/>
      <c r="Q8" s="17"/>
      <c r="R8" s="17"/>
      <c r="S8" s="17"/>
      <c r="T8" s="17"/>
    </row>
    <row r="9" spans="2:43" s="6" customFormat="1" ht="43.5" customHeight="1" x14ac:dyDescent="0.25">
      <c r="B9" s="17"/>
      <c r="C9" s="406" t="s">
        <v>1335</v>
      </c>
      <c r="D9" s="406"/>
      <c r="E9" s="406"/>
      <c r="F9" s="406"/>
      <c r="G9" s="406"/>
      <c r="H9" s="406"/>
      <c r="I9" s="406"/>
      <c r="J9" s="406"/>
      <c r="K9" s="406"/>
      <c r="L9" s="406"/>
      <c r="M9" s="406"/>
      <c r="N9" s="406"/>
      <c r="O9" s="406"/>
      <c r="P9" s="406"/>
      <c r="Q9" s="406"/>
      <c r="R9" s="406"/>
      <c r="S9" s="406"/>
      <c r="T9" s="17"/>
    </row>
    <row r="10" spans="2:43" s="6" customFormat="1" ht="5.45" customHeight="1" thickBot="1" x14ac:dyDescent="0.3">
      <c r="B10" s="17"/>
      <c r="C10" s="29"/>
      <c r="D10" s="29"/>
      <c r="E10" s="20"/>
      <c r="F10" s="20"/>
      <c r="G10" s="20"/>
      <c r="H10" s="20"/>
      <c r="I10" s="20"/>
      <c r="J10" s="17"/>
      <c r="K10" s="20"/>
      <c r="L10" s="20"/>
      <c r="M10" s="17"/>
      <c r="N10" s="17"/>
      <c r="O10" s="63"/>
      <c r="P10" s="63"/>
      <c r="Q10" s="63"/>
      <c r="R10" s="63"/>
      <c r="S10" s="63"/>
      <c r="T10" s="17"/>
    </row>
    <row r="11" spans="2:43" s="6" customFormat="1" ht="20.45" customHeight="1" thickBot="1" x14ac:dyDescent="0.3">
      <c r="B11" s="17"/>
      <c r="C11" s="474" t="s">
        <v>28</v>
      </c>
      <c r="D11" s="475"/>
      <c r="E11" s="475"/>
      <c r="F11" s="475"/>
      <c r="G11" s="475"/>
      <c r="H11" s="475"/>
      <c r="I11" s="475"/>
      <c r="J11" s="475"/>
      <c r="K11" s="475"/>
      <c r="L11" s="475"/>
      <c r="M11" s="475"/>
      <c r="N11" s="475"/>
      <c r="O11" s="475"/>
      <c r="P11" s="475"/>
      <c r="Q11" s="475"/>
      <c r="R11" s="475"/>
      <c r="S11" s="476"/>
      <c r="T11" s="17"/>
    </row>
    <row r="12" spans="2:43" s="6" customFormat="1" ht="5.45" customHeight="1" x14ac:dyDescent="0.25">
      <c r="B12" s="17"/>
      <c r="C12" s="44"/>
      <c r="D12" s="45"/>
      <c r="E12" s="46"/>
      <c r="F12" s="46"/>
      <c r="G12" s="46"/>
      <c r="H12" s="47"/>
      <c r="I12" s="47"/>
      <c r="J12" s="47"/>
      <c r="K12" s="47"/>
      <c r="L12" s="47"/>
      <c r="M12" s="47"/>
      <c r="N12" s="47"/>
      <c r="O12" s="63"/>
      <c r="P12" s="63"/>
      <c r="Q12" s="63"/>
      <c r="R12" s="63"/>
      <c r="S12" s="63"/>
      <c r="T12" s="17"/>
    </row>
    <row r="13" spans="2:43" s="6" customFormat="1" ht="20.25" customHeight="1" x14ac:dyDescent="0.25">
      <c r="B13" s="17"/>
      <c r="C13" s="430" t="s">
        <v>2</v>
      </c>
      <c r="D13" s="431"/>
      <c r="E13" s="490"/>
      <c r="F13" s="490"/>
      <c r="G13" s="490"/>
      <c r="H13" s="490"/>
      <c r="I13" s="490"/>
      <c r="J13" s="491"/>
      <c r="K13" s="17"/>
      <c r="L13" s="17"/>
      <c r="M13" s="65"/>
      <c r="N13" s="493" t="s">
        <v>3</v>
      </c>
      <c r="O13" s="494"/>
      <c r="P13" s="68"/>
      <c r="Q13" s="446"/>
      <c r="R13" s="447"/>
      <c r="S13" s="448"/>
      <c r="T13" s="17"/>
    </row>
    <row r="14" spans="2:43" s="6" customFormat="1" ht="6" customHeight="1" x14ac:dyDescent="0.25">
      <c r="B14" s="17"/>
      <c r="C14" s="29"/>
      <c r="D14" s="29"/>
      <c r="E14" s="30"/>
      <c r="F14" s="30"/>
      <c r="G14" s="30"/>
      <c r="H14" s="30"/>
      <c r="I14" s="30"/>
      <c r="J14" s="31"/>
      <c r="K14" s="17"/>
      <c r="L14" s="17"/>
      <c r="M14" s="65"/>
      <c r="N14" s="66"/>
      <c r="O14" s="67"/>
      <c r="P14" s="68"/>
      <c r="Q14" s="449"/>
      <c r="R14" s="450"/>
      <c r="S14" s="451"/>
      <c r="T14" s="17"/>
    </row>
    <row r="15" spans="2:43" s="6" customFormat="1" ht="20.25" customHeight="1" x14ac:dyDescent="0.25">
      <c r="B15" s="17"/>
      <c r="C15" s="430" t="s">
        <v>49</v>
      </c>
      <c r="D15" s="431"/>
      <c r="E15" s="490"/>
      <c r="F15" s="490"/>
      <c r="G15" s="490"/>
      <c r="H15" s="490"/>
      <c r="I15" s="490"/>
      <c r="J15" s="491"/>
      <c r="K15" s="17"/>
      <c r="L15" s="17"/>
      <c r="M15" s="65"/>
      <c r="N15" s="493"/>
      <c r="O15" s="498"/>
      <c r="P15" s="68"/>
      <c r="Q15" s="69"/>
      <c r="R15" s="69"/>
      <c r="S15" s="70"/>
      <c r="T15" s="17"/>
    </row>
    <row r="16" spans="2:43" s="6" customFormat="1" ht="6" customHeight="1" x14ac:dyDescent="0.25">
      <c r="B16" s="17"/>
      <c r="C16" s="17"/>
      <c r="D16" s="17"/>
      <c r="E16" s="17"/>
      <c r="F16" s="17"/>
      <c r="G16" s="17"/>
      <c r="H16" s="17"/>
      <c r="I16" s="17"/>
      <c r="J16" s="17"/>
      <c r="K16" s="17"/>
      <c r="L16" s="17"/>
      <c r="M16" s="17"/>
      <c r="N16" s="17"/>
      <c r="O16" s="17"/>
      <c r="P16" s="17"/>
      <c r="Q16" s="17"/>
      <c r="R16" s="17"/>
      <c r="S16" s="17"/>
      <c r="T16" s="17"/>
    </row>
    <row r="17" spans="2:20" s="6" customFormat="1" ht="20.25" customHeight="1" x14ac:dyDescent="0.25">
      <c r="B17" s="17"/>
      <c r="C17" s="430" t="s">
        <v>52</v>
      </c>
      <c r="D17" s="431"/>
      <c r="E17" s="490"/>
      <c r="F17" s="490"/>
      <c r="G17" s="490"/>
      <c r="H17" s="490"/>
      <c r="I17" s="490"/>
      <c r="J17" s="491"/>
      <c r="K17" s="17"/>
      <c r="L17" s="17"/>
      <c r="M17" s="71" t="s">
        <v>54</v>
      </c>
      <c r="N17" s="72"/>
      <c r="O17" s="495"/>
      <c r="P17" s="496"/>
      <c r="Q17" s="496"/>
      <c r="R17" s="496"/>
      <c r="S17" s="497"/>
      <c r="T17" s="17"/>
    </row>
    <row r="18" spans="2:20" s="6" customFormat="1" ht="5.25" customHeight="1" x14ac:dyDescent="0.25">
      <c r="B18" s="17"/>
      <c r="C18" s="17"/>
      <c r="D18" s="17"/>
      <c r="E18" s="17"/>
      <c r="F18" s="17"/>
      <c r="G18" s="17"/>
      <c r="H18" s="17"/>
      <c r="I18" s="17"/>
      <c r="J18" s="17"/>
      <c r="K18" s="17"/>
      <c r="L18" s="17"/>
      <c r="M18" s="17"/>
      <c r="N18" s="17"/>
      <c r="O18" s="17"/>
      <c r="P18" s="17"/>
      <c r="Q18" s="17"/>
      <c r="R18" s="17"/>
      <c r="S18" s="17"/>
      <c r="T18" s="17"/>
    </row>
    <row r="19" spans="2:20" s="6" customFormat="1" ht="20.25" customHeight="1" x14ac:dyDescent="0.25">
      <c r="B19" s="17"/>
      <c r="C19" s="430" t="s">
        <v>53</v>
      </c>
      <c r="D19" s="431"/>
      <c r="E19" s="490"/>
      <c r="F19" s="490"/>
      <c r="G19" s="490"/>
      <c r="H19" s="490"/>
      <c r="I19" s="490"/>
      <c r="J19" s="490"/>
      <c r="K19" s="490"/>
      <c r="L19" s="490"/>
      <c r="M19" s="491"/>
      <c r="N19" s="69"/>
      <c r="O19" s="69"/>
      <c r="P19" s="69"/>
      <c r="Q19" s="69"/>
      <c r="R19" s="69"/>
      <c r="S19" s="69"/>
      <c r="T19" s="17"/>
    </row>
    <row r="20" spans="2:20" s="6" customFormat="1" ht="9.75" customHeight="1" thickBot="1" x14ac:dyDescent="0.3">
      <c r="B20" s="17"/>
      <c r="C20" s="17"/>
      <c r="D20" s="17"/>
      <c r="E20" s="17"/>
      <c r="F20" s="17"/>
      <c r="G20" s="17"/>
      <c r="H20" s="17"/>
      <c r="I20" s="17"/>
      <c r="J20" s="17"/>
      <c r="K20" s="17"/>
      <c r="L20" s="17"/>
      <c r="M20" s="17"/>
      <c r="N20" s="17"/>
      <c r="O20" s="17"/>
      <c r="P20" s="17"/>
      <c r="Q20" s="17"/>
      <c r="R20" s="17"/>
      <c r="S20" s="17"/>
      <c r="T20" s="17"/>
    </row>
    <row r="21" spans="2:20" ht="20.45" customHeight="1" thickBot="1" x14ac:dyDescent="0.3">
      <c r="B21"/>
      <c r="C21" s="474" t="s">
        <v>29</v>
      </c>
      <c r="D21" s="475"/>
      <c r="E21" s="475"/>
      <c r="F21" s="475"/>
      <c r="G21" s="475"/>
      <c r="H21" s="475"/>
      <c r="I21" s="475"/>
      <c r="J21" s="475"/>
      <c r="K21" s="475"/>
      <c r="L21" s="475"/>
      <c r="M21" s="475"/>
      <c r="N21" s="475"/>
      <c r="O21" s="475"/>
      <c r="P21" s="475"/>
      <c r="Q21" s="475"/>
      <c r="R21" s="475"/>
      <c r="S21" s="476"/>
      <c r="T21"/>
    </row>
    <row r="22" spans="2:20" s="6" customFormat="1" ht="5.45" customHeight="1" x14ac:dyDescent="0.25">
      <c r="B22" s="17"/>
      <c r="C22" s="44"/>
      <c r="D22" s="44"/>
      <c r="E22" s="47"/>
      <c r="F22" s="47"/>
      <c r="G22" s="47"/>
      <c r="H22" s="47"/>
      <c r="I22" s="47"/>
      <c r="J22" s="47"/>
      <c r="K22" s="47"/>
      <c r="L22" s="47"/>
      <c r="M22" s="47"/>
      <c r="N22" s="47"/>
      <c r="O22" s="47"/>
      <c r="P22" s="47"/>
      <c r="Q22" s="47"/>
      <c r="R22" s="47"/>
      <c r="S22" s="47"/>
      <c r="T22" s="17"/>
    </row>
    <row r="23" spans="2:20" s="60" customFormat="1" ht="15" customHeight="1" x14ac:dyDescent="0.25">
      <c r="B23" s="73"/>
      <c r="C23" s="74"/>
      <c r="D23" s="75"/>
      <c r="E23" s="75"/>
      <c r="F23" s="76" t="s">
        <v>42</v>
      </c>
      <c r="G23" s="75"/>
      <c r="H23" s="492" t="s">
        <v>48</v>
      </c>
      <c r="I23" s="492"/>
      <c r="J23" s="492"/>
      <c r="K23" s="75"/>
      <c r="L23" s="75"/>
      <c r="M23" s="455" t="s">
        <v>56</v>
      </c>
      <c r="N23" s="455"/>
      <c r="O23" s="455"/>
      <c r="P23" s="455"/>
      <c r="Q23" s="455"/>
      <c r="R23" s="455"/>
      <c r="S23" s="455"/>
      <c r="T23" s="73"/>
    </row>
    <row r="24" spans="2:20" s="60" customFormat="1" ht="9.75" customHeight="1" x14ac:dyDescent="0.25">
      <c r="B24" s="73"/>
      <c r="C24" s="74"/>
      <c r="D24" s="75"/>
      <c r="E24" s="75"/>
      <c r="F24" s="76"/>
      <c r="G24" s="75"/>
      <c r="H24" s="76"/>
      <c r="I24" s="76"/>
      <c r="J24" s="76"/>
      <c r="K24" s="75"/>
      <c r="L24" s="75"/>
      <c r="M24" s="456"/>
      <c r="N24" s="456"/>
      <c r="O24" s="456"/>
      <c r="P24" s="456"/>
      <c r="Q24" s="456"/>
      <c r="R24" s="456"/>
      <c r="S24" s="456"/>
      <c r="T24" s="73"/>
    </row>
    <row r="25" spans="2:20" s="13" customFormat="1" ht="18.75" customHeight="1" x14ac:dyDescent="0.25">
      <c r="B25" s="34"/>
      <c r="C25" s="37"/>
      <c r="D25" s="39" t="s">
        <v>411</v>
      </c>
      <c r="E25" s="39"/>
      <c r="F25" s="312"/>
      <c r="G25" s="39"/>
      <c r="H25" s="457"/>
      <c r="I25" s="458"/>
      <c r="J25" s="458"/>
      <c r="K25" s="459"/>
      <c r="L25" s="39"/>
      <c r="M25" s="481"/>
      <c r="N25" s="482"/>
      <c r="O25" s="482"/>
      <c r="P25" s="482"/>
      <c r="Q25" s="482"/>
      <c r="R25" s="482"/>
      <c r="S25" s="483"/>
      <c r="T25" s="34"/>
    </row>
    <row r="26" spans="2:20" s="13" customFormat="1" ht="8.25" customHeight="1" x14ac:dyDescent="0.25">
      <c r="B26" s="34"/>
      <c r="C26" s="37"/>
      <c r="D26" s="39"/>
      <c r="E26" s="39"/>
      <c r="F26" s="39"/>
      <c r="G26" s="39"/>
      <c r="H26" s="39"/>
      <c r="I26" s="39"/>
      <c r="J26" s="39"/>
      <c r="K26" s="39"/>
      <c r="L26" s="39"/>
      <c r="M26" s="484"/>
      <c r="N26" s="485"/>
      <c r="O26" s="485"/>
      <c r="P26" s="485"/>
      <c r="Q26" s="485"/>
      <c r="R26" s="485"/>
      <c r="S26" s="486"/>
      <c r="T26" s="34"/>
    </row>
    <row r="27" spans="2:20" s="13" customFormat="1" ht="19.5" customHeight="1" x14ac:dyDescent="0.25">
      <c r="B27" s="34"/>
      <c r="C27" s="37"/>
      <c r="D27" s="38" t="s">
        <v>412</v>
      </c>
      <c r="E27" s="39"/>
      <c r="F27" s="312"/>
      <c r="G27" s="39"/>
      <c r="H27" s="457"/>
      <c r="I27" s="458"/>
      <c r="J27" s="458"/>
      <c r="K27" s="459"/>
      <c r="L27" s="39"/>
      <c r="M27" s="484"/>
      <c r="N27" s="485"/>
      <c r="O27" s="485"/>
      <c r="P27" s="485"/>
      <c r="Q27" s="485"/>
      <c r="R27" s="485"/>
      <c r="S27" s="486"/>
      <c r="T27" s="34"/>
    </row>
    <row r="28" spans="2:20" s="13" customFormat="1" ht="6" customHeight="1" x14ac:dyDescent="0.25">
      <c r="B28" s="34"/>
      <c r="C28" s="37"/>
      <c r="D28" s="38"/>
      <c r="E28" s="39"/>
      <c r="F28" s="39"/>
      <c r="G28" s="39"/>
      <c r="H28" s="39"/>
      <c r="I28" s="39"/>
      <c r="J28" s="39"/>
      <c r="K28" s="39"/>
      <c r="L28" s="39"/>
      <c r="M28" s="484"/>
      <c r="N28" s="485"/>
      <c r="O28" s="485"/>
      <c r="P28" s="485"/>
      <c r="Q28" s="485"/>
      <c r="R28" s="485"/>
      <c r="S28" s="486"/>
      <c r="T28" s="34"/>
    </row>
    <row r="29" spans="2:20" s="13" customFormat="1" ht="21" customHeight="1" x14ac:dyDescent="0.25">
      <c r="B29" s="34"/>
      <c r="C29" s="37"/>
      <c r="D29" s="39" t="s">
        <v>41</v>
      </c>
      <c r="E29" s="39"/>
      <c r="F29" s="312"/>
      <c r="G29" s="39"/>
      <c r="H29" s="457"/>
      <c r="I29" s="458"/>
      <c r="J29" s="458"/>
      <c r="K29" s="459"/>
      <c r="L29" s="39"/>
      <c r="M29" s="487"/>
      <c r="N29" s="488"/>
      <c r="O29" s="488"/>
      <c r="P29" s="488"/>
      <c r="Q29" s="488"/>
      <c r="R29" s="488"/>
      <c r="S29" s="489"/>
      <c r="T29" s="34"/>
    </row>
    <row r="30" spans="2:20" ht="9" customHeight="1" thickBot="1" x14ac:dyDescent="0.3">
      <c r="B30"/>
      <c r="C30"/>
      <c r="D30"/>
      <c r="E30"/>
      <c r="F30"/>
      <c r="G30"/>
      <c r="H30"/>
      <c r="I30"/>
      <c r="J30"/>
      <c r="K30"/>
      <c r="L30"/>
      <c r="M30"/>
      <c r="N30"/>
      <c r="O30"/>
      <c r="P30"/>
      <c r="Q30"/>
      <c r="R30"/>
      <c r="S30"/>
      <c r="T30"/>
    </row>
    <row r="31" spans="2:20" ht="20.45" customHeight="1" thickBot="1" x14ac:dyDescent="0.3">
      <c r="B31"/>
      <c r="C31" s="474" t="s">
        <v>30</v>
      </c>
      <c r="D31" s="475"/>
      <c r="E31" s="475"/>
      <c r="F31" s="475"/>
      <c r="G31" s="475"/>
      <c r="H31" s="475"/>
      <c r="I31" s="475"/>
      <c r="J31" s="475"/>
      <c r="K31" s="475"/>
      <c r="L31" s="475"/>
      <c r="M31" s="475"/>
      <c r="N31" s="475"/>
      <c r="O31" s="475"/>
      <c r="P31" s="475"/>
      <c r="Q31" s="475"/>
      <c r="R31" s="475"/>
      <c r="S31" s="476"/>
      <c r="T31"/>
    </row>
    <row r="32" spans="2:20" s="6" customFormat="1" ht="5.45" customHeight="1" x14ac:dyDescent="0.25">
      <c r="B32" s="17"/>
      <c r="C32" s="44"/>
      <c r="D32" s="44"/>
      <c r="E32" s="47"/>
      <c r="F32" s="47"/>
      <c r="G32" s="47"/>
      <c r="H32" s="47"/>
      <c r="I32" s="47"/>
      <c r="J32" s="47"/>
      <c r="K32" s="47"/>
      <c r="L32" s="47"/>
      <c r="M32" s="47"/>
      <c r="N32" s="47"/>
      <c r="O32" s="47"/>
      <c r="P32" s="47"/>
      <c r="Q32" s="47"/>
      <c r="R32" s="47"/>
      <c r="S32" s="47"/>
      <c r="T32" s="17"/>
    </row>
    <row r="33" spans="2:20" s="61" customFormat="1" ht="15" customHeight="1" x14ac:dyDescent="0.25">
      <c r="B33" s="78"/>
      <c r="C33" s="37"/>
      <c r="D33" s="79" t="s">
        <v>35</v>
      </c>
      <c r="E33" s="80"/>
      <c r="F33" s="453" t="s">
        <v>36</v>
      </c>
      <c r="G33" s="453"/>
      <c r="H33" s="453"/>
      <c r="I33" s="453"/>
      <c r="J33" s="453"/>
      <c r="K33" s="453"/>
      <c r="L33" s="453"/>
      <c r="M33" s="453"/>
      <c r="N33" s="80"/>
      <c r="O33" s="81" t="s">
        <v>55</v>
      </c>
      <c r="P33" s="81"/>
      <c r="Q33" s="79" t="s">
        <v>46</v>
      </c>
      <c r="R33" s="79"/>
      <c r="S33" s="82" t="s">
        <v>37</v>
      </c>
      <c r="T33" s="78"/>
    </row>
    <row r="34" spans="2:20" s="61" customFormat="1" ht="7.5" customHeight="1" x14ac:dyDescent="0.25">
      <c r="B34" s="78"/>
      <c r="C34" s="37"/>
      <c r="D34" s="37"/>
      <c r="E34" s="37"/>
      <c r="F34" s="37"/>
      <c r="G34" s="37"/>
      <c r="H34" s="37"/>
      <c r="I34" s="37"/>
      <c r="J34" s="37"/>
      <c r="K34" s="37"/>
      <c r="L34" s="37"/>
      <c r="M34" s="37"/>
      <c r="N34" s="36"/>
      <c r="O34" s="81"/>
      <c r="P34" s="81"/>
      <c r="Q34" s="37"/>
      <c r="R34" s="37"/>
      <c r="S34" s="83"/>
      <c r="T34" s="78"/>
    </row>
    <row r="35" spans="2:20" s="13" customFormat="1" ht="20.25" customHeight="1" x14ac:dyDescent="0.25">
      <c r="B35" s="34"/>
      <c r="C35" s="37"/>
      <c r="D35" s="399" t="s">
        <v>33</v>
      </c>
      <c r="E35" s="399"/>
      <c r="F35" s="477" t="s">
        <v>268</v>
      </c>
      <c r="G35" s="477"/>
      <c r="H35" s="477"/>
      <c r="I35" s="477"/>
      <c r="J35" s="477"/>
      <c r="K35" s="477"/>
      <c r="L35" s="477"/>
      <c r="M35" s="477"/>
      <c r="N35" s="39"/>
      <c r="O35" s="313">
        <v>20</v>
      </c>
      <c r="P35" s="85"/>
      <c r="Q35" s="311">
        <v>0</v>
      </c>
      <c r="R35" s="86"/>
      <c r="S35" s="87">
        <f>O35*Q35</f>
        <v>0</v>
      </c>
      <c r="T35" s="34"/>
    </row>
    <row r="36" spans="2:20" s="13" customFormat="1" ht="8.25" customHeight="1" x14ac:dyDescent="0.25">
      <c r="B36" s="34"/>
      <c r="C36" s="37"/>
      <c r="D36" s="38"/>
      <c r="E36" s="38"/>
      <c r="F36" s="38"/>
      <c r="G36" s="38"/>
      <c r="H36" s="38"/>
      <c r="I36" s="38"/>
      <c r="J36" s="38"/>
      <c r="K36" s="38"/>
      <c r="L36" s="38"/>
      <c r="M36" s="38"/>
      <c r="N36" s="39"/>
      <c r="O36" s="88"/>
      <c r="P36" s="39"/>
      <c r="Q36" s="38"/>
      <c r="R36" s="38"/>
      <c r="S36" s="38"/>
      <c r="T36" s="34"/>
    </row>
    <row r="37" spans="2:20" s="13" customFormat="1" ht="21.75" customHeight="1" x14ac:dyDescent="0.25">
      <c r="B37" s="34"/>
      <c r="C37" s="37"/>
      <c r="D37" s="399" t="s">
        <v>413</v>
      </c>
      <c r="E37" s="399"/>
      <c r="F37" s="452" t="s">
        <v>209</v>
      </c>
      <c r="G37" s="452"/>
      <c r="H37" s="452"/>
      <c r="I37" s="452"/>
      <c r="J37" s="452"/>
      <c r="K37" s="452"/>
      <c r="L37" s="452"/>
      <c r="M37" s="452"/>
      <c r="N37" s="39"/>
      <c r="O37" s="84">
        <v>60</v>
      </c>
      <c r="P37" s="85"/>
      <c r="Q37" s="311">
        <v>0</v>
      </c>
      <c r="R37" s="86"/>
      <c r="S37" s="87">
        <f t="shared" ref="S37:S39" si="0">O37*Q37</f>
        <v>0</v>
      </c>
      <c r="T37" s="34"/>
    </row>
    <row r="38" spans="2:20" s="13" customFormat="1" ht="8.25" customHeight="1" x14ac:dyDescent="0.25">
      <c r="B38" s="34"/>
      <c r="C38" s="37"/>
      <c r="D38" s="38"/>
      <c r="E38" s="38"/>
      <c r="F38" s="38"/>
      <c r="G38" s="38"/>
      <c r="H38" s="38"/>
      <c r="I38" s="38"/>
      <c r="J38" s="38"/>
      <c r="K38" s="38"/>
      <c r="L38" s="38"/>
      <c r="M38" s="38"/>
      <c r="N38" s="39"/>
      <c r="O38" s="88"/>
      <c r="P38" s="39"/>
      <c r="Q38" s="38"/>
      <c r="R38" s="38"/>
      <c r="S38" s="38"/>
      <c r="T38" s="34"/>
    </row>
    <row r="39" spans="2:20" s="13" customFormat="1" ht="21" customHeight="1" x14ac:dyDescent="0.25">
      <c r="B39" s="34"/>
      <c r="C39" s="37"/>
      <c r="D39" s="39" t="s">
        <v>34</v>
      </c>
      <c r="E39" s="39"/>
      <c r="F39" s="452" t="s">
        <v>1333</v>
      </c>
      <c r="G39" s="452"/>
      <c r="H39" s="452"/>
      <c r="I39" s="452"/>
      <c r="J39" s="452"/>
      <c r="K39" s="452"/>
      <c r="L39" s="452"/>
      <c r="M39" s="452"/>
      <c r="N39" s="39"/>
      <c r="O39" s="84">
        <v>100</v>
      </c>
      <c r="P39" s="85"/>
      <c r="Q39" s="311">
        <v>0</v>
      </c>
      <c r="R39" s="86"/>
      <c r="S39" s="87">
        <f t="shared" si="0"/>
        <v>0</v>
      </c>
      <c r="T39" s="34"/>
    </row>
    <row r="40" spans="2:20" s="13" customFormat="1" ht="6" customHeight="1" x14ac:dyDescent="0.25">
      <c r="B40" s="34"/>
      <c r="C40" s="37"/>
      <c r="D40" s="39"/>
      <c r="E40" s="39"/>
      <c r="F40" s="39"/>
      <c r="G40" s="38"/>
      <c r="H40" s="38"/>
      <c r="I40" s="38"/>
      <c r="J40" s="38"/>
      <c r="K40" s="38"/>
      <c r="L40" s="38"/>
      <c r="M40" s="38"/>
      <c r="N40" s="39"/>
      <c r="O40" s="39"/>
      <c r="P40" s="39"/>
      <c r="Q40" s="38"/>
      <c r="R40" s="38"/>
      <c r="S40" s="89"/>
      <c r="T40" s="34"/>
    </row>
    <row r="41" spans="2:20" s="13" customFormat="1" ht="6" customHeight="1" thickBot="1" x14ac:dyDescent="0.3">
      <c r="B41" s="34"/>
      <c r="C41" s="37"/>
      <c r="D41" s="38"/>
      <c r="E41" s="38"/>
      <c r="F41" s="38"/>
      <c r="G41" s="38"/>
      <c r="H41" s="38"/>
      <c r="I41" s="38"/>
      <c r="J41" s="38"/>
      <c r="K41" s="38"/>
      <c r="L41" s="38"/>
      <c r="M41" s="38"/>
      <c r="N41" s="38"/>
      <c r="O41" s="38"/>
      <c r="P41" s="38"/>
      <c r="Q41" s="38"/>
      <c r="R41" s="38"/>
      <c r="S41" s="38"/>
      <c r="T41" s="34"/>
    </row>
    <row r="42" spans="2:20" s="13" customFormat="1" ht="24" customHeight="1" thickBot="1" x14ac:dyDescent="0.3">
      <c r="B42" s="34"/>
      <c r="C42" s="37"/>
      <c r="D42" s="454" t="s">
        <v>39</v>
      </c>
      <c r="E42" s="454"/>
      <c r="F42" s="454"/>
      <c r="G42" s="454"/>
      <c r="H42" s="454"/>
      <c r="I42" s="454"/>
      <c r="J42" s="454"/>
      <c r="K42" s="454"/>
      <c r="L42" s="454"/>
      <c r="M42" s="454"/>
      <c r="N42" s="39"/>
      <c r="O42" s="434" t="s">
        <v>38</v>
      </c>
      <c r="P42" s="434"/>
      <c r="Q42" s="434"/>
      <c r="R42" s="90"/>
      <c r="S42" s="91">
        <f>SUM(S35:S39)</f>
        <v>0</v>
      </c>
      <c r="T42" s="34"/>
    </row>
    <row r="43" spans="2:20" s="13" customFormat="1" ht="7.5" customHeight="1" x14ac:dyDescent="0.25">
      <c r="B43" s="34"/>
      <c r="C43" s="37"/>
      <c r="D43" s="466" t="s">
        <v>1334</v>
      </c>
      <c r="E43" s="466"/>
      <c r="F43" s="466"/>
      <c r="G43" s="466"/>
      <c r="H43" s="466"/>
      <c r="I43" s="466"/>
      <c r="J43" s="466"/>
      <c r="K43" s="466"/>
      <c r="L43" s="466"/>
      <c r="M43" s="466"/>
      <c r="N43" s="466"/>
      <c r="O43" s="466"/>
      <c r="P43" s="466"/>
      <c r="Q43" s="466"/>
      <c r="R43" s="38"/>
      <c r="S43" s="38"/>
      <c r="T43" s="34"/>
    </row>
    <row r="44" spans="2:20" ht="9.75" customHeight="1" x14ac:dyDescent="0.25">
      <c r="B44"/>
      <c r="C44" s="48"/>
      <c r="D44" s="466"/>
      <c r="E44" s="466"/>
      <c r="F44" s="466"/>
      <c r="G44" s="466"/>
      <c r="H44" s="466"/>
      <c r="I44" s="466"/>
      <c r="J44" s="466"/>
      <c r="K44" s="466"/>
      <c r="L44" s="466"/>
      <c r="M44" s="466"/>
      <c r="N44" s="466"/>
      <c r="O44" s="466"/>
      <c r="P44" s="466"/>
      <c r="Q44" s="466"/>
      <c r="R44" s="48"/>
      <c r="S44" s="48"/>
      <c r="T44"/>
    </row>
    <row r="45" spans="2:20" ht="5.45" customHeight="1" x14ac:dyDescent="0.25">
      <c r="B45"/>
      <c r="C45" s="48"/>
      <c r="D45" s="466"/>
      <c r="E45" s="466"/>
      <c r="F45" s="466"/>
      <c r="G45" s="466"/>
      <c r="H45" s="466"/>
      <c r="I45" s="466"/>
      <c r="J45" s="466"/>
      <c r="K45" s="466"/>
      <c r="L45" s="466"/>
      <c r="M45" s="466"/>
      <c r="N45" s="466"/>
      <c r="O45" s="466"/>
      <c r="P45" s="466"/>
      <c r="Q45" s="466"/>
      <c r="R45" s="48"/>
      <c r="S45" s="48"/>
      <c r="T45"/>
    </row>
    <row r="46" spans="2:20" s="13" customFormat="1" ht="7.5" customHeight="1" thickBot="1" x14ac:dyDescent="0.3">
      <c r="B46" s="34"/>
      <c r="C46" s="49"/>
      <c r="D46" s="49"/>
      <c r="E46" s="50"/>
      <c r="F46" s="50"/>
      <c r="G46" s="50"/>
      <c r="H46" s="50"/>
      <c r="I46" s="50"/>
      <c r="J46" s="50"/>
      <c r="K46" s="50"/>
      <c r="L46" s="50"/>
      <c r="M46" s="50"/>
      <c r="N46" s="50"/>
      <c r="O46" s="50"/>
      <c r="P46" s="50"/>
      <c r="Q46" s="50"/>
      <c r="R46" s="50"/>
      <c r="S46" s="50"/>
      <c r="T46" s="34"/>
    </row>
    <row r="47" spans="2:20" ht="25.5" customHeight="1" thickTop="1" thickBot="1" x14ac:dyDescent="0.3">
      <c r="B47"/>
      <c r="C47" s="465" t="s">
        <v>40</v>
      </c>
      <c r="D47" s="465"/>
      <c r="E47" s="465"/>
      <c r="F47" s="465"/>
      <c r="G47" s="465"/>
      <c r="H47" s="465"/>
      <c r="I47" s="465"/>
      <c r="J47" s="465"/>
      <c r="K47" s="465"/>
      <c r="L47" s="465"/>
      <c r="M47" s="465"/>
      <c r="N47" s="465"/>
      <c r="O47" s="465"/>
      <c r="P47" s="465"/>
      <c r="Q47" s="465"/>
      <c r="R47" s="465"/>
      <c r="S47" s="465"/>
      <c r="T47"/>
    </row>
    <row r="48" spans="2:20" s="13" customFormat="1" ht="19.899999999999999" customHeight="1" thickTop="1" x14ac:dyDescent="0.25">
      <c r="B48" s="34"/>
      <c r="C48" s="37"/>
      <c r="D48" s="39"/>
      <c r="E48" s="39"/>
      <c r="F48" s="39"/>
      <c r="G48" s="39"/>
      <c r="H48" s="39"/>
      <c r="I48" s="39"/>
      <c r="J48" s="39"/>
      <c r="K48" s="39"/>
      <c r="L48" s="39"/>
      <c r="M48" s="39"/>
      <c r="N48" s="39"/>
      <c r="O48" s="39"/>
      <c r="P48" s="39"/>
      <c r="Q48" s="38"/>
      <c r="R48" s="38"/>
      <c r="S48" s="38"/>
      <c r="T48" s="34"/>
    </row>
    <row r="49" spans="2:23" s="13" customFormat="1" ht="18.600000000000001" customHeight="1" x14ac:dyDescent="0.25">
      <c r="B49" s="34"/>
      <c r="C49" s="461" t="s">
        <v>43</v>
      </c>
      <c r="D49" s="461"/>
      <c r="E49" s="462"/>
      <c r="F49" s="92"/>
      <c r="G49" s="39"/>
      <c r="H49" s="39"/>
      <c r="I49" s="460" t="s">
        <v>194</v>
      </c>
      <c r="J49" s="460"/>
      <c r="K49" s="39"/>
      <c r="L49" s="39"/>
      <c r="M49" s="461" t="s">
        <v>47</v>
      </c>
      <c r="N49" s="461"/>
      <c r="O49" s="462"/>
      <c r="P49" s="463"/>
      <c r="Q49" s="464"/>
      <c r="R49" s="38"/>
      <c r="S49" s="38"/>
      <c r="T49" s="34"/>
    </row>
    <row r="50" spans="2:23" s="13" customFormat="1" ht="6" customHeight="1" x14ac:dyDescent="0.25">
      <c r="B50" s="34"/>
      <c r="C50" s="38"/>
      <c r="D50" s="38"/>
      <c r="E50" s="38"/>
      <c r="F50" s="38"/>
      <c r="G50" s="38"/>
      <c r="H50" s="39"/>
      <c r="I50" s="39"/>
      <c r="J50" s="39"/>
      <c r="K50" s="39"/>
      <c r="L50" s="39"/>
      <c r="M50" s="39"/>
      <c r="N50" s="39"/>
      <c r="O50" s="39"/>
      <c r="P50" s="39"/>
      <c r="Q50" s="38"/>
      <c r="R50" s="38"/>
      <c r="S50" s="38"/>
      <c r="T50" s="34"/>
    </row>
    <row r="51" spans="2:23" s="13" customFormat="1" ht="19.899999999999999" customHeight="1" x14ac:dyDescent="0.25">
      <c r="B51" s="34"/>
      <c r="C51" s="433" t="s">
        <v>44</v>
      </c>
      <c r="D51" s="433"/>
      <c r="E51" s="39"/>
      <c r="F51" s="87">
        <f>S42</f>
        <v>0</v>
      </c>
      <c r="G51" s="39"/>
      <c r="H51" s="39"/>
      <c r="I51" s="39"/>
      <c r="J51" s="39"/>
      <c r="K51" s="39"/>
      <c r="L51" s="39"/>
      <c r="M51" s="39"/>
      <c r="N51" s="39"/>
      <c r="O51" s="39"/>
      <c r="P51" s="39"/>
      <c r="Q51" s="38"/>
      <c r="R51" s="38"/>
      <c r="S51" s="38"/>
      <c r="T51" s="34"/>
    </row>
    <row r="52" spans="2:23" s="13" customFormat="1" ht="4.5" customHeight="1" thickBot="1" x14ac:dyDescent="0.3">
      <c r="B52" s="34"/>
      <c r="C52" s="38"/>
      <c r="D52" s="38"/>
      <c r="E52" s="38"/>
      <c r="F52" s="38"/>
      <c r="G52" s="39"/>
      <c r="H52" s="39"/>
      <c r="I52" s="39"/>
      <c r="J52" s="39"/>
      <c r="K52" s="39"/>
      <c r="L52" s="39"/>
      <c r="M52" s="39"/>
      <c r="N52" s="39"/>
      <c r="O52" s="39"/>
      <c r="P52" s="39"/>
      <c r="Q52" s="38"/>
      <c r="R52" s="38"/>
      <c r="S52" s="38"/>
      <c r="T52" s="34"/>
    </row>
    <row r="53" spans="2:23" ht="19.899999999999999" customHeight="1" thickBot="1" x14ac:dyDescent="0.3">
      <c r="B53"/>
      <c r="C53" s="468" t="s">
        <v>195</v>
      </c>
      <c r="D53" s="468"/>
      <c r="E53"/>
      <c r="F53" s="87">
        <v>0</v>
      </c>
      <c r="G53"/>
      <c r="H53"/>
      <c r="I53" s="469" t="s">
        <v>45</v>
      </c>
      <c r="J53" s="469"/>
      <c r="K53" s="469"/>
      <c r="L53" s="469"/>
      <c r="M53" s="469"/>
      <c r="N53" s="93"/>
      <c r="O53" s="470">
        <f>SUM(F51-F53)</f>
        <v>0</v>
      </c>
      <c r="P53" s="471"/>
      <c r="Q53" s="472"/>
      <c r="R53"/>
      <c r="S53" s="38"/>
      <c r="T53"/>
    </row>
    <row r="54" spans="2:23" ht="18" customHeight="1" x14ac:dyDescent="0.25">
      <c r="B54"/>
      <c r="C54" s="408"/>
      <c r="D54" s="408"/>
      <c r="E54" s="408"/>
      <c r="F54" s="408"/>
      <c r="G54" s="408"/>
      <c r="H54" s="408"/>
      <c r="I54" s="408"/>
      <c r="J54" s="408"/>
      <c r="K54" s="408"/>
      <c r="L54" s="408"/>
      <c r="M54" s="408"/>
      <c r="N54" s="408"/>
      <c r="O54" s="408"/>
      <c r="P54" s="408"/>
      <c r="Q54" s="408"/>
      <c r="R54" s="408"/>
      <c r="S54" s="408"/>
      <c r="T54" s="52"/>
      <c r="U54" s="16"/>
      <c r="V54" s="16"/>
      <c r="W54" s="16"/>
    </row>
    <row r="55" spans="2:23" ht="17.45" customHeight="1" x14ac:dyDescent="0.25">
      <c r="B55"/>
      <c r="C55" s="468" t="s">
        <v>50</v>
      </c>
      <c r="D55" s="468"/>
      <c r="E55"/>
      <c r="F55" s="473"/>
      <c r="G55" s="473"/>
      <c r="H55" s="473"/>
      <c r="I55" s="473"/>
      <c r="J55" s="473"/>
      <c r="K55" s="473"/>
      <c r="L55" s="473"/>
      <c r="M55" s="473"/>
      <c r="N55"/>
      <c r="O55" s="94" t="s">
        <v>51</v>
      </c>
      <c r="P55" s="94"/>
      <c r="Q55" s="467"/>
      <c r="R55" s="467"/>
      <c r="S55" s="467"/>
      <c r="T55"/>
    </row>
    <row r="56" spans="2:23" ht="6" customHeight="1" x14ac:dyDescent="0.25">
      <c r="B56"/>
      <c r="C56"/>
      <c r="D56"/>
      <c r="E56"/>
      <c r="F56"/>
      <c r="G56"/>
      <c r="H56"/>
      <c r="I56"/>
      <c r="J56"/>
      <c r="K56"/>
      <c r="L56"/>
      <c r="M56"/>
      <c r="N56"/>
      <c r="O56"/>
      <c r="P56"/>
      <c r="Q56"/>
      <c r="R56"/>
      <c r="S56"/>
      <c r="T56"/>
    </row>
    <row r="57" spans="2:23" ht="6.75" customHeight="1" thickBot="1" x14ac:dyDescent="0.3">
      <c r="B57"/>
      <c r="C57" s="95"/>
      <c r="D57" s="95"/>
      <c r="E57" s="95"/>
      <c r="F57" s="95"/>
      <c r="G57" s="95"/>
      <c r="H57" s="95"/>
      <c r="I57" s="95"/>
      <c r="J57" s="95"/>
      <c r="K57" s="95"/>
      <c r="L57" s="95"/>
      <c r="M57" s="95"/>
      <c r="N57" s="95"/>
      <c r="O57" s="95"/>
      <c r="P57" s="95"/>
      <c r="Q57" s="95"/>
      <c r="R57" s="95"/>
      <c r="S57" s="95"/>
      <c r="T57"/>
    </row>
    <row r="58" spans="2:23" ht="15.75" thickTop="1" x14ac:dyDescent="0.25">
      <c r="B58"/>
      <c r="C58"/>
      <c r="D58"/>
      <c r="E58"/>
      <c r="F58"/>
      <c r="G58"/>
      <c r="H58"/>
      <c r="I58"/>
      <c r="J58"/>
      <c r="K58"/>
      <c r="L58"/>
      <c r="M58"/>
      <c r="N58"/>
      <c r="O58"/>
      <c r="P58"/>
      <c r="Q58"/>
      <c r="R58"/>
      <c r="S58"/>
      <c r="T58"/>
    </row>
    <row r="59" spans="2:23" x14ac:dyDescent="0.25">
      <c r="B59"/>
      <c r="C59"/>
      <c r="D59"/>
      <c r="E59"/>
      <c r="F59"/>
      <c r="G59"/>
      <c r="H59"/>
      <c r="I59"/>
      <c r="J59"/>
      <c r="K59"/>
      <c r="L59"/>
      <c r="M59"/>
      <c r="N59"/>
      <c r="O59"/>
      <c r="P59"/>
      <c r="Q59"/>
      <c r="R59"/>
      <c r="S59"/>
      <c r="T59"/>
    </row>
  </sheetData>
  <sheetProtection algorithmName="SHA-512" hashValue="H7/vPCVShWMnzHXn8Fg0RF94/+yzNhD7iXffFLXdlACZLLBblB2bgAPj/1sYDuTj8YkFNCl7kEfbZ2d+4bwz1g==" saltValue="7QbMOcUukKPPpOHj7t+ANA==" spinCount="100000" sheet="1" selectLockedCells="1"/>
  <mergeCells count="52">
    <mergeCell ref="F3:O3"/>
    <mergeCell ref="M25:S29"/>
    <mergeCell ref="C31:S31"/>
    <mergeCell ref="E17:J17"/>
    <mergeCell ref="H23:J23"/>
    <mergeCell ref="E13:J13"/>
    <mergeCell ref="N13:O13"/>
    <mergeCell ref="C15:D15"/>
    <mergeCell ref="C13:D13"/>
    <mergeCell ref="O17:S17"/>
    <mergeCell ref="C19:D19"/>
    <mergeCell ref="E19:M19"/>
    <mergeCell ref="E15:J15"/>
    <mergeCell ref="N15:O15"/>
    <mergeCell ref="C4:D6"/>
    <mergeCell ref="C9:S9"/>
    <mergeCell ref="C11:S11"/>
    <mergeCell ref="C21:S21"/>
    <mergeCell ref="D35:E35"/>
    <mergeCell ref="F35:M35"/>
    <mergeCell ref="H29:K29"/>
    <mergeCell ref="H27:K27"/>
    <mergeCell ref="Q55:S55"/>
    <mergeCell ref="C54:S54"/>
    <mergeCell ref="C53:D53"/>
    <mergeCell ref="I53:M53"/>
    <mergeCell ref="O53:Q53"/>
    <mergeCell ref="F55:M55"/>
    <mergeCell ref="C55:D55"/>
    <mergeCell ref="M49:O49"/>
    <mergeCell ref="P49:Q49"/>
    <mergeCell ref="C49:E49"/>
    <mergeCell ref="D37:E37"/>
    <mergeCell ref="F37:M37"/>
    <mergeCell ref="C47:S47"/>
    <mergeCell ref="D43:Q45"/>
    <mergeCell ref="C51:D51"/>
    <mergeCell ref="O42:Q42"/>
    <mergeCell ref="P4:S4"/>
    <mergeCell ref="P5:S6"/>
    <mergeCell ref="P7:S7"/>
    <mergeCell ref="F4:O4"/>
    <mergeCell ref="F5:O5"/>
    <mergeCell ref="F6:O7"/>
    <mergeCell ref="C17:D17"/>
    <mergeCell ref="Q13:S14"/>
    <mergeCell ref="F39:M39"/>
    <mergeCell ref="F33:M33"/>
    <mergeCell ref="D42:M42"/>
    <mergeCell ref="M23:S24"/>
    <mergeCell ref="H25:K25"/>
    <mergeCell ref="I49:J49"/>
  </mergeCells>
  <phoneticPr fontId="108" type="noConversion"/>
  <printOptions horizontalCentered="1"/>
  <pageMargins left="0.25" right="0.25" top="0.5" bottom="0.5" header="0.3" footer="0.3"/>
  <pageSetup scale="88" orientation="portrait" r:id="rId1"/>
  <headerFooter>
    <oddFooter>&amp;R&amp;10MHC Rev. 03/2025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228600</xdr:colOff>
                    <xdr:row>48</xdr:row>
                    <xdr:rowOff>0</xdr:rowOff>
                  </from>
                  <to>
                    <xdr:col>10</xdr:col>
                    <xdr:colOff>19050</xdr:colOff>
                    <xdr:row>48</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B7711-8994-447D-8675-4C28A222EB2C}">
  <sheetPr>
    <tabColor rgb="FF1A4B7C"/>
  </sheetPr>
  <dimension ref="B3:B20"/>
  <sheetViews>
    <sheetView topLeftCell="A3" zoomScaleNormal="100" workbookViewId="0">
      <selection activeCell="B10" sqref="B10"/>
    </sheetView>
  </sheetViews>
  <sheetFormatPr defaultColWidth="50.42578125" defaultRowHeight="15" x14ac:dyDescent="0.25"/>
  <cols>
    <col min="1" max="1" width="50.42578125" style="3"/>
    <col min="2" max="2" width="125.140625" style="3" customWidth="1"/>
    <col min="3" max="16384" width="50.42578125" style="3"/>
  </cols>
  <sheetData>
    <row r="3" spans="2:2" ht="40.5" customHeight="1" x14ac:dyDescent="0.25"/>
    <row r="4" spans="2:2" ht="24" x14ac:dyDescent="0.4">
      <c r="B4" s="373" t="s">
        <v>196</v>
      </c>
    </row>
    <row r="5" spans="2:2" x14ac:dyDescent="0.25">
      <c r="B5" s="4"/>
    </row>
    <row r="6" spans="2:2" ht="31.5" x14ac:dyDescent="0.5">
      <c r="B6" s="374" t="s">
        <v>200</v>
      </c>
    </row>
    <row r="7" spans="2:2" x14ac:dyDescent="0.25">
      <c r="B7" s="4"/>
    </row>
    <row r="8" spans="2:2" ht="230.25" customHeight="1" x14ac:dyDescent="0.25">
      <c r="B8" s="375" t="s">
        <v>1336</v>
      </c>
    </row>
    <row r="9" spans="2:2" x14ac:dyDescent="0.25">
      <c r="B9" s="4"/>
    </row>
    <row r="10" spans="2:2" ht="36" x14ac:dyDescent="0.55000000000000004">
      <c r="B10" s="377" t="s">
        <v>1337</v>
      </c>
    </row>
    <row r="11" spans="2:2" x14ac:dyDescent="0.25">
      <c r="B11" s="4"/>
    </row>
    <row r="12" spans="2:2" x14ac:dyDescent="0.25">
      <c r="B12" s="4"/>
    </row>
    <row r="13" spans="2:2" x14ac:dyDescent="0.25">
      <c r="B13" s="4"/>
    </row>
    <row r="14" spans="2:2" x14ac:dyDescent="0.25">
      <c r="B14" s="4"/>
    </row>
    <row r="15" spans="2:2" x14ac:dyDescent="0.25">
      <c r="B15" s="4"/>
    </row>
    <row r="16" spans="2:2" x14ac:dyDescent="0.25">
      <c r="B16" s="4"/>
    </row>
    <row r="17" spans="2:2" x14ac:dyDescent="0.25">
      <c r="B17" s="4"/>
    </row>
    <row r="18" spans="2:2" x14ac:dyDescent="0.25">
      <c r="B18" s="4"/>
    </row>
    <row r="19" spans="2:2" x14ac:dyDescent="0.25">
      <c r="B19" s="4"/>
    </row>
    <row r="20" spans="2:2" x14ac:dyDescent="0.25">
      <c r="B20" s="4"/>
    </row>
  </sheetData>
  <sheetProtection algorithmName="SHA-512" hashValue="9t0zv+vjcFd5PvTxYTFGkNjT3J6l4T7qQvfOCTVZ/GgRB0B/DCsQTPBv4tTjnvMyQSd4aPGJOdcWBn9KC/M9LQ==" saltValue="xwVfMS2kFttPsLBwmh4htw==" spinCount="100000" sheet="1" objects="1" scenarios="1" selectLockedCells="1"/>
  <hyperlinks>
    <hyperlink ref="B10" r:id="rId1" xr:uid="{58675405-F9D5-4D1D-9FAF-54689B1BD968}"/>
  </hyperlinks>
  <pageMargins left="0.7" right="0.7" top="0.75" bottom="0.75" header="0.3" footer="0.3"/>
  <pageSetup orientation="portrait" r:id="rId2"/>
  <headerFooter>
    <oddFooter xml:space="preserve">&amp;C
Mississippi Home Corporation
&amp;"-,Bold"2025 AOC REPORT&amp;"-,Regular"
Part A
</oddFooter>
  </headerFooter>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3" tint="0.749992370372631"/>
  </sheetPr>
  <dimension ref="B1:Z58"/>
  <sheetViews>
    <sheetView showGridLines="0" zoomScaleNormal="100" workbookViewId="0">
      <selection activeCell="G12" sqref="G12:J12"/>
    </sheetView>
  </sheetViews>
  <sheetFormatPr defaultColWidth="9.140625" defaultRowHeight="15" x14ac:dyDescent="0.25"/>
  <cols>
    <col min="1" max="1" width="2.5703125" style="3" customWidth="1"/>
    <col min="2" max="2" width="54" style="3" customWidth="1"/>
    <col min="3" max="3" width="2.140625" style="3" customWidth="1"/>
    <col min="4" max="4" width="4" style="3" customWidth="1"/>
    <col min="5" max="5" width="7.7109375" style="3" customWidth="1"/>
    <col min="6" max="6" width="8" style="3" customWidth="1"/>
    <col min="7" max="7" width="9.28515625" style="3" customWidth="1"/>
    <col min="8" max="8" width="1" style="3" customWidth="1"/>
    <col min="9" max="9" width="23.7109375" style="3" customWidth="1"/>
    <col min="10" max="10" width="8.28515625" style="3" customWidth="1"/>
    <col min="11" max="11" width="3" style="3" customWidth="1"/>
    <col min="12" max="12" width="2.7109375" style="3" customWidth="1"/>
    <col min="13" max="13" width="0.7109375" style="3" customWidth="1"/>
    <col min="14" max="14" width="10.85546875" style="3" customWidth="1"/>
    <col min="15" max="15" width="2.7109375" style="3" customWidth="1"/>
    <col min="16" max="16" width="18.140625" style="3" customWidth="1"/>
    <col min="17" max="17" width="1" style="3" customWidth="1"/>
    <col min="18" max="18" width="9.42578125" style="3" customWidth="1"/>
    <col min="19" max="20" width="5.7109375" style="3" customWidth="1"/>
    <col min="21" max="21" width="4" style="3" customWidth="1"/>
    <col min="22" max="22" width="3.140625" style="3" customWidth="1"/>
    <col min="23" max="16384" width="9.140625" style="3"/>
  </cols>
  <sheetData>
    <row r="1" spans="4:21" ht="23.45" customHeight="1" x14ac:dyDescent="0.25"/>
    <row r="2" spans="4:21" s="6" customFormat="1" ht="9" customHeight="1" x14ac:dyDescent="0.25">
      <c r="D2" s="17"/>
      <c r="E2" s="17"/>
      <c r="F2" s="17"/>
      <c r="G2" s="17"/>
      <c r="H2" s="17"/>
      <c r="I2" s="17"/>
      <c r="J2" s="17"/>
      <c r="K2" s="17"/>
      <c r="L2" s="17"/>
      <c r="M2" s="17"/>
      <c r="N2" s="17"/>
      <c r="O2" s="17"/>
      <c r="P2" s="17"/>
      <c r="Q2" s="17"/>
      <c r="R2" s="17"/>
      <c r="S2" s="17"/>
      <c r="T2" s="17"/>
      <c r="U2" s="17"/>
    </row>
    <row r="3" spans="4:21" s="6" customFormat="1" ht="15.75" x14ac:dyDescent="0.25">
      <c r="D3" s="17"/>
      <c r="E3" s="513" t="s">
        <v>287</v>
      </c>
      <c r="F3" s="513"/>
      <c r="G3" s="513"/>
      <c r="H3" s="17"/>
      <c r="I3" s="505" t="s">
        <v>0</v>
      </c>
      <c r="J3" s="505"/>
      <c r="K3" s="505"/>
      <c r="L3" s="505"/>
      <c r="M3" s="505"/>
      <c r="N3" s="505"/>
      <c r="O3" s="505"/>
      <c r="P3" s="505"/>
      <c r="Q3" s="17"/>
      <c r="R3" s="427"/>
      <c r="S3" s="427"/>
      <c r="T3" s="427"/>
      <c r="U3" s="17"/>
    </row>
    <row r="4" spans="4:21" s="6" customFormat="1" ht="27.6" customHeight="1" x14ac:dyDescent="0.4">
      <c r="D4" s="17"/>
      <c r="E4" s="410"/>
      <c r="F4" s="410"/>
      <c r="G4" s="411"/>
      <c r="H4" s="17"/>
      <c r="I4" s="511" t="s">
        <v>91</v>
      </c>
      <c r="J4" s="511"/>
      <c r="K4" s="511"/>
      <c r="L4" s="511"/>
      <c r="M4" s="511"/>
      <c r="N4" s="511"/>
      <c r="O4" s="511"/>
      <c r="P4" s="511"/>
      <c r="Q4" s="21"/>
      <c r="R4" s="413" t="s">
        <v>1240</v>
      </c>
      <c r="S4" s="414"/>
      <c r="T4" s="414"/>
      <c r="U4" s="17"/>
    </row>
    <row r="5" spans="4:21" s="6" customFormat="1" ht="18.75" x14ac:dyDescent="0.25">
      <c r="D5" s="17"/>
      <c r="E5" s="410"/>
      <c r="F5" s="410"/>
      <c r="G5" s="411"/>
      <c r="H5" s="17"/>
      <c r="I5" s="512" t="s">
        <v>92</v>
      </c>
      <c r="J5" s="512"/>
      <c r="K5" s="512"/>
      <c r="L5" s="512"/>
      <c r="M5" s="512"/>
      <c r="N5" s="512"/>
      <c r="O5" s="512"/>
      <c r="P5" s="512"/>
      <c r="Q5" s="22"/>
      <c r="R5" s="416">
        <v>2024</v>
      </c>
      <c r="S5" s="417"/>
      <c r="T5" s="417"/>
      <c r="U5" s="17"/>
    </row>
    <row r="6" spans="4:21" s="6" customFormat="1" ht="18" customHeight="1" x14ac:dyDescent="0.25">
      <c r="D6" s="17"/>
      <c r="E6" s="410"/>
      <c r="F6" s="410"/>
      <c r="G6" s="411"/>
      <c r="H6" s="17"/>
      <c r="I6" s="524" t="s">
        <v>1244</v>
      </c>
      <c r="J6" s="524"/>
      <c r="K6" s="524"/>
      <c r="L6" s="524"/>
      <c r="M6" s="524"/>
      <c r="N6" s="524"/>
      <c r="O6" s="524"/>
      <c r="P6" s="524"/>
      <c r="Q6" s="23"/>
      <c r="R6" s="418"/>
      <c r="S6" s="419"/>
      <c r="T6" s="419"/>
      <c r="U6" s="17"/>
    </row>
    <row r="7" spans="4:21" s="6" customFormat="1" ht="14.45" customHeight="1" thickBot="1" x14ac:dyDescent="0.3">
      <c r="D7" s="17"/>
      <c r="E7" s="24"/>
      <c r="F7" s="25"/>
      <c r="G7" s="26"/>
      <c r="H7" s="25"/>
      <c r="I7" s="525"/>
      <c r="J7" s="525"/>
      <c r="K7" s="525"/>
      <c r="L7" s="525"/>
      <c r="M7" s="525"/>
      <c r="N7" s="525"/>
      <c r="O7" s="525"/>
      <c r="P7" s="525"/>
      <c r="Q7" s="27"/>
      <c r="R7" s="423" t="s">
        <v>1</v>
      </c>
      <c r="S7" s="424"/>
      <c r="T7" s="424"/>
      <c r="U7" s="17"/>
    </row>
    <row r="8" spans="4:21" s="6" customFormat="1" ht="7.5" customHeight="1" x14ac:dyDescent="0.25">
      <c r="D8" s="17"/>
      <c r="E8" s="17"/>
      <c r="F8" s="17"/>
      <c r="G8" s="17"/>
      <c r="H8" s="17"/>
      <c r="I8" s="17"/>
      <c r="J8" s="17"/>
      <c r="K8" s="17"/>
      <c r="L8" s="17"/>
      <c r="M8" s="17"/>
      <c r="N8" s="17"/>
      <c r="O8" s="17"/>
      <c r="P8" s="17"/>
      <c r="Q8" s="17"/>
      <c r="R8" s="17"/>
      <c r="S8" s="17"/>
      <c r="T8" s="17"/>
      <c r="U8" s="17"/>
    </row>
    <row r="9" spans="4:21" s="6" customFormat="1" ht="5.25" customHeight="1" thickBot="1" x14ac:dyDescent="0.3">
      <c r="D9" s="17"/>
      <c r="E9" s="33"/>
      <c r="F9" s="33"/>
      <c r="G9" s="33"/>
      <c r="H9" s="33"/>
      <c r="I9" s="33"/>
      <c r="J9" s="33"/>
      <c r="K9" s="33"/>
      <c r="L9" s="33"/>
      <c r="M9" s="33"/>
      <c r="N9" s="25"/>
      <c r="O9" s="28"/>
      <c r="P9" s="25"/>
      <c r="Q9" s="25"/>
      <c r="R9" s="25"/>
      <c r="S9" s="25"/>
      <c r="T9" s="25"/>
      <c r="U9" s="17"/>
    </row>
    <row r="10" spans="4:21" s="6" customFormat="1" ht="30" customHeight="1" x14ac:dyDescent="0.25">
      <c r="D10" s="17"/>
      <c r="E10" s="406" t="s">
        <v>270</v>
      </c>
      <c r="F10" s="406"/>
      <c r="G10" s="406"/>
      <c r="H10" s="406"/>
      <c r="I10" s="406"/>
      <c r="J10" s="406"/>
      <c r="K10" s="406"/>
      <c r="L10" s="406"/>
      <c r="M10" s="406"/>
      <c r="N10" s="406"/>
      <c r="O10" s="406"/>
      <c r="P10" s="406"/>
      <c r="Q10" s="406"/>
      <c r="R10" s="406"/>
      <c r="S10" s="406"/>
      <c r="T10" s="406"/>
      <c r="U10" s="17"/>
    </row>
    <row r="11" spans="4:21" s="6" customFormat="1" ht="5.45" customHeight="1" x14ac:dyDescent="0.25">
      <c r="D11" s="17"/>
      <c r="E11" s="29"/>
      <c r="F11" s="29"/>
      <c r="G11" s="20"/>
      <c r="H11" s="20"/>
      <c r="I11" s="20"/>
      <c r="J11" s="20"/>
      <c r="K11" s="20"/>
      <c r="L11" s="20"/>
      <c r="M11" s="20"/>
      <c r="N11" s="17"/>
      <c r="O11" s="20"/>
      <c r="P11" s="17"/>
      <c r="Q11" s="17"/>
      <c r="R11" s="17"/>
      <c r="S11" s="17"/>
      <c r="T11" s="17"/>
      <c r="U11" s="17"/>
    </row>
    <row r="12" spans="4:21" s="6" customFormat="1" ht="20.25" customHeight="1" x14ac:dyDescent="0.25">
      <c r="D12" s="17"/>
      <c r="E12" s="514" t="s">
        <v>2</v>
      </c>
      <c r="F12" s="515"/>
      <c r="G12" s="536"/>
      <c r="H12" s="537"/>
      <c r="I12" s="537"/>
      <c r="J12" s="538"/>
      <c r="K12" s="17"/>
      <c r="L12" s="17"/>
      <c r="M12" s="17"/>
      <c r="N12" s="17"/>
      <c r="O12" s="17"/>
      <c r="P12" s="32" t="s">
        <v>3</v>
      </c>
      <c r="Q12" s="29"/>
      <c r="R12" s="20" t="s">
        <v>4</v>
      </c>
      <c r="S12" s="516"/>
      <c r="T12" s="517"/>
      <c r="U12" s="17"/>
    </row>
    <row r="13" spans="4:21" s="6" customFormat="1" ht="5.25" customHeight="1" thickBot="1" x14ac:dyDescent="0.3">
      <c r="D13" s="17"/>
      <c r="E13" s="33"/>
      <c r="F13" s="33"/>
      <c r="G13" s="33"/>
      <c r="H13" s="33"/>
      <c r="I13" s="33"/>
      <c r="J13" s="33"/>
      <c r="K13" s="33"/>
      <c r="L13" s="33"/>
      <c r="M13" s="33"/>
      <c r="N13" s="25"/>
      <c r="O13" s="28"/>
      <c r="P13" s="25"/>
      <c r="Q13" s="25"/>
      <c r="R13" s="25"/>
      <c r="S13" s="25"/>
      <c r="T13" s="25"/>
      <c r="U13" s="17"/>
    </row>
    <row r="14" spans="4:21" s="6" customFormat="1" ht="61.9" customHeight="1" x14ac:dyDescent="0.25">
      <c r="D14" s="17"/>
      <c r="E14" s="518" t="s">
        <v>94</v>
      </c>
      <c r="F14" s="518"/>
      <c r="G14" s="518"/>
      <c r="H14" s="518"/>
      <c r="I14" s="518"/>
      <c r="J14" s="518"/>
      <c r="K14" s="518"/>
      <c r="L14" s="518"/>
      <c r="M14" s="518"/>
      <c r="N14" s="518"/>
      <c r="O14" s="518"/>
      <c r="P14" s="518"/>
      <c r="Q14" s="518"/>
      <c r="R14" s="518"/>
      <c r="S14" s="518"/>
      <c r="T14" s="518"/>
      <c r="U14" s="17"/>
    </row>
    <row r="15" spans="4:21" s="6" customFormat="1" ht="5.45" customHeight="1" x14ac:dyDescent="0.25">
      <c r="D15" s="17"/>
      <c r="E15" s="500" t="s">
        <v>95</v>
      </c>
      <c r="F15" s="500"/>
      <c r="G15" s="500"/>
      <c r="H15" s="500"/>
      <c r="I15" s="500"/>
      <c r="J15" s="500"/>
      <c r="K15" s="500"/>
      <c r="L15" s="500"/>
      <c r="M15" s="500"/>
      <c r="N15" s="500"/>
      <c r="O15" s="500"/>
      <c r="P15" s="500"/>
      <c r="Q15" s="500"/>
      <c r="R15" s="500"/>
      <c r="S15" s="500"/>
      <c r="T15" s="500"/>
      <c r="U15" s="310"/>
    </row>
    <row r="16" spans="4:21" s="6" customFormat="1" ht="26.45" customHeight="1" x14ac:dyDescent="0.25">
      <c r="D16" s="17"/>
      <c r="E16" s="501"/>
      <c r="F16" s="501"/>
      <c r="G16" s="501"/>
      <c r="H16" s="501"/>
      <c r="I16" s="501"/>
      <c r="J16" s="501"/>
      <c r="K16" s="501"/>
      <c r="L16" s="501"/>
      <c r="M16" s="501"/>
      <c r="N16" s="501"/>
      <c r="O16" s="501"/>
      <c r="P16" s="501"/>
      <c r="Q16" s="501"/>
      <c r="R16" s="501"/>
      <c r="S16" s="501"/>
      <c r="T16" s="501"/>
      <c r="U16" s="310"/>
    </row>
    <row r="17" spans="4:21" s="6" customFormat="1" ht="7.5" customHeight="1" x14ac:dyDescent="0.25">
      <c r="D17" s="17"/>
      <c r="E17" s="501"/>
      <c r="F17" s="501"/>
      <c r="G17" s="501"/>
      <c r="H17" s="501"/>
      <c r="I17" s="501"/>
      <c r="J17" s="501"/>
      <c r="K17" s="501"/>
      <c r="L17" s="501"/>
      <c r="M17" s="501"/>
      <c r="N17" s="501"/>
      <c r="O17" s="501"/>
      <c r="P17" s="501"/>
      <c r="Q17" s="501"/>
      <c r="R17" s="501"/>
      <c r="S17" s="501"/>
      <c r="T17" s="501"/>
      <c r="U17" s="310"/>
    </row>
    <row r="18" spans="4:21" s="6" customFormat="1" ht="5.25" customHeight="1" thickBot="1" x14ac:dyDescent="0.3">
      <c r="D18" s="17"/>
      <c r="E18" s="17"/>
      <c r="F18" s="17"/>
      <c r="G18" s="17"/>
      <c r="H18" s="17"/>
      <c r="I18" s="17"/>
      <c r="J18" s="17"/>
      <c r="K18" s="17"/>
      <c r="L18" s="17"/>
      <c r="M18" s="17"/>
      <c r="N18" s="17"/>
      <c r="O18" s="17"/>
      <c r="P18" s="17"/>
      <c r="Q18" s="17"/>
      <c r="R18" s="17"/>
      <c r="S18" s="17"/>
      <c r="T18" s="17"/>
      <c r="U18" s="17"/>
    </row>
    <row r="19" spans="4:21" s="6" customFormat="1" ht="3.6" customHeight="1" thickBot="1" x14ac:dyDescent="0.3">
      <c r="D19" s="17"/>
      <c r="E19" s="42"/>
      <c r="F19" s="42"/>
      <c r="G19" s="42"/>
      <c r="H19" s="42"/>
      <c r="I19" s="42"/>
      <c r="J19" s="42"/>
      <c r="K19" s="42"/>
      <c r="L19" s="42"/>
      <c r="M19" s="42"/>
      <c r="N19" s="42"/>
      <c r="O19" s="42"/>
      <c r="P19" s="42"/>
      <c r="Q19" s="42"/>
      <c r="R19" s="42"/>
      <c r="S19" s="42"/>
      <c r="T19" s="42"/>
      <c r="U19" s="17"/>
    </row>
    <row r="20" spans="4:21" s="6" customFormat="1" ht="20.45" customHeight="1" thickBot="1" x14ac:dyDescent="0.3">
      <c r="D20" s="17"/>
      <c r="E20" s="506" t="s">
        <v>388</v>
      </c>
      <c r="F20" s="507"/>
      <c r="G20" s="507"/>
      <c r="H20" s="507"/>
      <c r="I20" s="507"/>
      <c r="J20" s="507"/>
      <c r="K20" s="507"/>
      <c r="L20" s="507"/>
      <c r="M20" s="507"/>
      <c r="N20" s="507"/>
      <c r="O20" s="507"/>
      <c r="P20" s="507"/>
      <c r="Q20" s="507"/>
      <c r="R20" s="507"/>
      <c r="S20" s="507"/>
      <c r="T20" s="508"/>
      <c r="U20" s="17"/>
    </row>
    <row r="21" spans="4:21" s="6" customFormat="1" ht="7.15" customHeight="1" x14ac:dyDescent="0.25">
      <c r="D21" s="17"/>
      <c r="E21" s="42"/>
      <c r="F21" s="42"/>
      <c r="G21" s="42"/>
      <c r="H21" s="42"/>
      <c r="I21" s="42"/>
      <c r="J21" s="42"/>
      <c r="K21" s="42"/>
      <c r="L21" s="42"/>
      <c r="M21" s="42"/>
      <c r="N21" s="42"/>
      <c r="O21" s="42"/>
      <c r="P21" s="42"/>
      <c r="Q21" s="42"/>
      <c r="R21" s="42"/>
      <c r="S21" s="42"/>
      <c r="T21" s="42"/>
      <c r="U21" s="17"/>
    </row>
    <row r="22" spans="4:21" s="6" customFormat="1" ht="24" customHeight="1" x14ac:dyDescent="0.25">
      <c r="D22" s="17"/>
      <c r="E22" s="509" t="s">
        <v>106</v>
      </c>
      <c r="F22" s="509"/>
      <c r="G22" s="509"/>
      <c r="H22" s="510"/>
      <c r="I22" s="519"/>
      <c r="J22" s="520"/>
      <c r="K22" s="520"/>
      <c r="L22" s="520"/>
      <c r="M22" s="520"/>
      <c r="N22" s="521"/>
      <c r="O22" s="99"/>
      <c r="P22" s="97" t="s">
        <v>110</v>
      </c>
      <c r="Q22" s="502"/>
      <c r="R22" s="503"/>
      <c r="S22" s="503"/>
      <c r="T22" s="504"/>
      <c r="U22" s="17"/>
    </row>
    <row r="23" spans="4:21" s="6" customFormat="1" ht="8.4499999999999993" customHeight="1" x14ac:dyDescent="0.25">
      <c r="D23" s="17"/>
      <c r="E23" s="97"/>
      <c r="F23" s="97"/>
      <c r="G23" s="97"/>
      <c r="H23" s="97"/>
      <c r="I23" s="100"/>
      <c r="J23" s="100"/>
      <c r="K23" s="100"/>
      <c r="L23" s="100"/>
      <c r="M23" s="101"/>
      <c r="N23" s="101"/>
      <c r="O23" s="102"/>
      <c r="P23" s="103"/>
      <c r="Q23" s="101"/>
      <c r="R23" s="101"/>
      <c r="S23" s="100"/>
      <c r="T23" s="100"/>
      <c r="U23" s="17"/>
    </row>
    <row r="24" spans="4:21" s="6" customFormat="1" ht="24" customHeight="1" x14ac:dyDescent="0.25">
      <c r="D24" s="17"/>
      <c r="E24" s="509" t="s">
        <v>107</v>
      </c>
      <c r="F24" s="509"/>
      <c r="G24" s="509"/>
      <c r="H24" s="510"/>
      <c r="I24" s="519"/>
      <c r="J24" s="520"/>
      <c r="K24" s="520"/>
      <c r="L24" s="521"/>
      <c r="M24" s="104"/>
      <c r="N24" s="509" t="s">
        <v>108</v>
      </c>
      <c r="O24" s="510"/>
      <c r="P24" s="303"/>
      <c r="Q24" s="106"/>
      <c r="R24" s="98" t="s">
        <v>109</v>
      </c>
      <c r="S24" s="502"/>
      <c r="T24" s="504"/>
      <c r="U24" s="17"/>
    </row>
    <row r="25" spans="4:21" s="6" customFormat="1" ht="8.4499999999999993" customHeight="1" x14ac:dyDescent="0.25">
      <c r="D25" s="17"/>
      <c r="E25" s="97"/>
      <c r="F25" s="97"/>
      <c r="G25" s="97"/>
      <c r="H25" s="97"/>
      <c r="I25" s="100"/>
      <c r="J25" s="101"/>
      <c r="K25" s="101"/>
      <c r="L25" s="101"/>
      <c r="M25" s="102"/>
      <c r="N25" s="102"/>
      <c r="O25" s="102"/>
      <c r="P25" s="101"/>
      <c r="Q25" s="102"/>
      <c r="R25" s="102"/>
      <c r="S25" s="101"/>
      <c r="T25" s="101"/>
      <c r="U25" s="17"/>
    </row>
    <row r="26" spans="4:21" s="6" customFormat="1" ht="24" customHeight="1" x14ac:dyDescent="0.25">
      <c r="D26" s="17"/>
      <c r="E26" s="509" t="s">
        <v>54</v>
      </c>
      <c r="F26" s="509"/>
      <c r="G26" s="509"/>
      <c r="H26" s="510"/>
      <c r="I26" s="303"/>
      <c r="J26" s="99"/>
      <c r="K26" s="509" t="s">
        <v>53</v>
      </c>
      <c r="L26" s="509"/>
      <c r="M26" s="509"/>
      <c r="N26" s="509"/>
      <c r="O26" s="502"/>
      <c r="P26" s="503"/>
      <c r="Q26" s="503"/>
      <c r="R26" s="503"/>
      <c r="S26" s="503"/>
      <c r="T26" s="504"/>
      <c r="U26" s="17"/>
    </row>
    <row r="27" spans="4:21" s="6" customFormat="1" ht="7.9" customHeight="1" x14ac:dyDescent="0.25">
      <c r="D27" s="17"/>
      <c r="E27" s="108"/>
      <c r="F27" s="108"/>
      <c r="G27" s="108"/>
      <c r="H27" s="108"/>
      <c r="I27" s="100"/>
      <c r="J27" s="103"/>
      <c r="K27" s="103"/>
      <c r="L27" s="103"/>
      <c r="M27" s="103"/>
      <c r="N27" s="103"/>
      <c r="O27" s="102"/>
      <c r="P27" s="102"/>
      <c r="Q27" s="102"/>
      <c r="R27" s="102"/>
      <c r="S27" s="102"/>
      <c r="T27" s="102"/>
      <c r="U27" s="17"/>
    </row>
    <row r="28" spans="4:21" s="6" customFormat="1" ht="24" customHeight="1" x14ac:dyDescent="0.25">
      <c r="D28" s="17"/>
      <c r="E28" s="509" t="s">
        <v>111</v>
      </c>
      <c r="F28" s="509"/>
      <c r="G28" s="509"/>
      <c r="H28" s="510"/>
      <c r="I28" s="519"/>
      <c r="J28" s="520"/>
      <c r="K28" s="520"/>
      <c r="L28" s="520"/>
      <c r="M28" s="520"/>
      <c r="N28" s="521"/>
      <c r="O28" s="99"/>
      <c r="P28" s="97"/>
      <c r="Q28" s="523"/>
      <c r="R28" s="523"/>
      <c r="S28" s="523"/>
      <c r="T28" s="523"/>
      <c r="U28" s="17"/>
    </row>
    <row r="29" spans="4:21" s="6" customFormat="1" ht="10.9" customHeight="1" thickBot="1" x14ac:dyDescent="0.3">
      <c r="D29" s="17"/>
      <c r="E29" s="17"/>
      <c r="F29" s="17"/>
      <c r="G29" s="17"/>
      <c r="H29" s="17"/>
      <c r="I29" s="17"/>
      <c r="J29" s="17"/>
      <c r="K29" s="17"/>
      <c r="L29" s="17"/>
      <c r="M29" s="17"/>
      <c r="N29" s="17"/>
      <c r="O29" s="17"/>
      <c r="P29" s="17"/>
      <c r="Q29" s="17"/>
      <c r="R29" s="17"/>
      <c r="S29" s="17"/>
      <c r="T29" s="17"/>
      <c r="U29" s="17"/>
    </row>
    <row r="30" spans="4:21" s="6" customFormat="1" ht="20.45" customHeight="1" thickBot="1" x14ac:dyDescent="0.3">
      <c r="D30" s="17"/>
      <c r="E30" s="506" t="s">
        <v>96</v>
      </c>
      <c r="F30" s="507"/>
      <c r="G30" s="507"/>
      <c r="H30" s="507"/>
      <c r="I30" s="507"/>
      <c r="J30" s="507"/>
      <c r="K30" s="507"/>
      <c r="L30" s="507"/>
      <c r="M30" s="507"/>
      <c r="N30" s="507"/>
      <c r="O30" s="507"/>
      <c r="P30" s="507"/>
      <c r="Q30" s="507"/>
      <c r="R30" s="507"/>
      <c r="S30" s="507"/>
      <c r="T30" s="508"/>
      <c r="U30" s="17"/>
    </row>
    <row r="31" spans="4:21" s="6" customFormat="1" ht="16.149999999999999" customHeight="1" x14ac:dyDescent="0.25">
      <c r="D31" s="17"/>
      <c r="E31" s="44"/>
      <c r="F31" s="44"/>
      <c r="G31" s="47"/>
      <c r="H31" s="47"/>
      <c r="I31" s="47"/>
      <c r="J31" s="47"/>
      <c r="K31" s="47"/>
      <c r="L31" s="47"/>
      <c r="M31" s="47"/>
      <c r="N31" s="47"/>
      <c r="O31" s="47"/>
      <c r="P31" s="47"/>
      <c r="Q31" s="47"/>
      <c r="R31" s="47"/>
      <c r="S31" s="109" t="s">
        <v>98</v>
      </c>
      <c r="T31" s="109" t="s">
        <v>99</v>
      </c>
      <c r="U31" s="17"/>
    </row>
    <row r="32" spans="4:21" s="13" customFormat="1" ht="16.5" customHeight="1" x14ac:dyDescent="0.25">
      <c r="D32" s="34"/>
      <c r="E32" s="110">
        <v>1</v>
      </c>
      <c r="F32" s="522" t="s">
        <v>112</v>
      </c>
      <c r="G32" s="522"/>
      <c r="H32" s="522"/>
      <c r="I32" s="522"/>
      <c r="J32" s="522"/>
      <c r="K32" s="522"/>
      <c r="L32" s="522"/>
      <c r="M32" s="522"/>
      <c r="N32" s="522"/>
      <c r="O32" s="522"/>
      <c r="P32" s="522"/>
      <c r="Q32" s="39"/>
      <c r="R32" s="41"/>
      <c r="S32" s="315"/>
      <c r="T32" s="316"/>
      <c r="U32" s="34"/>
    </row>
    <row r="33" spans="2:21" s="13" customFormat="1" ht="15" customHeight="1" x14ac:dyDescent="0.25">
      <c r="D33" s="34"/>
      <c r="E33" s="77">
        <v>2</v>
      </c>
      <c r="F33" s="522" t="s">
        <v>100</v>
      </c>
      <c r="G33" s="522"/>
      <c r="H33" s="522"/>
      <c r="I33" s="522"/>
      <c r="J33" s="522"/>
      <c r="K33" s="522"/>
      <c r="L33" s="522"/>
      <c r="M33" s="522"/>
      <c r="N33" s="522"/>
      <c r="O33" s="522"/>
      <c r="P33" s="522"/>
      <c r="Q33" s="39"/>
      <c r="R33" s="34"/>
      <c r="S33" s="315"/>
      <c r="T33" s="316"/>
      <c r="U33" s="34"/>
    </row>
    <row r="34" spans="2:21" s="13" customFormat="1" ht="15" customHeight="1" x14ac:dyDescent="0.25">
      <c r="D34" s="34"/>
      <c r="E34" s="77">
        <v>3</v>
      </c>
      <c r="F34" s="522" t="s">
        <v>105</v>
      </c>
      <c r="G34" s="522"/>
      <c r="H34" s="522"/>
      <c r="I34" s="522"/>
      <c r="J34" s="522"/>
      <c r="K34" s="522"/>
      <c r="L34" s="522"/>
      <c r="M34" s="522"/>
      <c r="N34" s="522"/>
      <c r="O34" s="522"/>
      <c r="P34" s="522"/>
      <c r="Q34" s="522"/>
      <c r="R34" s="522"/>
      <c r="S34" s="38"/>
      <c r="T34" s="41"/>
      <c r="U34" s="34"/>
    </row>
    <row r="35" spans="2:21" ht="9.75" customHeight="1" thickBot="1" x14ac:dyDescent="0.3">
      <c r="D35"/>
      <c r="E35"/>
      <c r="F35"/>
      <c r="G35"/>
      <c r="H35"/>
      <c r="I35"/>
      <c r="J35"/>
      <c r="K35"/>
      <c r="L35"/>
      <c r="M35"/>
      <c r="N35"/>
      <c r="O35"/>
      <c r="P35"/>
      <c r="Q35"/>
      <c r="R35"/>
      <c r="S35"/>
      <c r="T35"/>
      <c r="U35"/>
    </row>
    <row r="36" spans="2:21" ht="20.45" customHeight="1" thickBot="1" x14ac:dyDescent="0.3">
      <c r="D36"/>
      <c r="E36" s="506" t="s">
        <v>97</v>
      </c>
      <c r="F36" s="507"/>
      <c r="G36" s="507"/>
      <c r="H36" s="507"/>
      <c r="I36" s="507"/>
      <c r="J36" s="507"/>
      <c r="K36" s="507"/>
      <c r="L36" s="507"/>
      <c r="M36" s="507"/>
      <c r="N36" s="507"/>
      <c r="O36" s="507"/>
      <c r="P36" s="507"/>
      <c r="Q36" s="507"/>
      <c r="R36" s="507"/>
      <c r="S36" s="507"/>
      <c r="T36" s="508"/>
      <c r="U36"/>
    </row>
    <row r="37" spans="2:21" s="6" customFormat="1" ht="5.45" customHeight="1" x14ac:dyDescent="0.25">
      <c r="D37" s="17"/>
      <c r="E37" s="44"/>
      <c r="F37" s="45"/>
      <c r="G37" s="46"/>
      <c r="H37" s="46"/>
      <c r="I37" s="46"/>
      <c r="J37" s="46"/>
      <c r="K37" s="47"/>
      <c r="L37" s="47"/>
      <c r="M37" s="47"/>
      <c r="N37" s="47"/>
      <c r="O37" s="47"/>
      <c r="P37" s="47"/>
      <c r="Q37" s="47"/>
      <c r="R37" s="47"/>
      <c r="S37" s="47"/>
      <c r="T37" s="47"/>
      <c r="U37" s="17"/>
    </row>
    <row r="38" spans="2:21" s="13" customFormat="1" ht="15" customHeight="1" x14ac:dyDescent="0.25">
      <c r="D38" s="34"/>
      <c r="E38" s="77">
        <v>4</v>
      </c>
      <c r="F38" s="399" t="s">
        <v>101</v>
      </c>
      <c r="G38" s="399"/>
      <c r="H38" s="399"/>
      <c r="I38" s="399"/>
      <c r="J38" s="399"/>
      <c r="K38" s="399"/>
      <c r="L38" s="399"/>
      <c r="M38" s="399"/>
      <c r="N38" s="399"/>
      <c r="O38" s="399"/>
      <c r="P38" s="399"/>
      <c r="Q38" s="39"/>
      <c r="R38" s="40"/>
      <c r="S38" s="37"/>
      <c r="T38" s="41"/>
      <c r="U38" s="34"/>
    </row>
    <row r="39" spans="2:21" s="13" customFormat="1" ht="15" customHeight="1" x14ac:dyDescent="0.25">
      <c r="D39" s="34"/>
      <c r="E39" s="77">
        <v>5</v>
      </c>
      <c r="F39" s="399" t="s">
        <v>102</v>
      </c>
      <c r="G39" s="399"/>
      <c r="H39" s="399"/>
      <c r="I39" s="399"/>
      <c r="J39" s="399"/>
      <c r="K39" s="399"/>
      <c r="L39" s="399"/>
      <c r="M39" s="399"/>
      <c r="N39" s="399"/>
      <c r="O39" s="399"/>
      <c r="P39" s="399"/>
      <c r="Q39" s="399"/>
      <c r="R39" s="399"/>
      <c r="S39" s="37"/>
      <c r="T39" s="41"/>
      <c r="U39" s="34"/>
    </row>
    <row r="40" spans="2:21" s="13" customFormat="1" ht="15" customHeight="1" x14ac:dyDescent="0.25">
      <c r="D40" s="34"/>
      <c r="E40" s="77">
        <v>6</v>
      </c>
      <c r="F40" s="399" t="s">
        <v>103</v>
      </c>
      <c r="G40" s="399"/>
      <c r="H40" s="399"/>
      <c r="I40" s="399"/>
      <c r="J40" s="399"/>
      <c r="K40" s="399"/>
      <c r="L40" s="399"/>
      <c r="M40" s="399"/>
      <c r="N40" s="399"/>
      <c r="O40" s="399"/>
      <c r="P40" s="399"/>
      <c r="Q40" s="399"/>
      <c r="R40" s="399"/>
      <c r="S40" s="38"/>
      <c r="T40" s="41"/>
      <c r="U40" s="34"/>
    </row>
    <row r="41" spans="2:21" s="13" customFormat="1" ht="3" customHeight="1" x14ac:dyDescent="0.25">
      <c r="D41" s="34"/>
      <c r="E41" s="77"/>
      <c r="F41" s="38"/>
      <c r="G41" s="38"/>
      <c r="H41" s="38"/>
      <c r="I41" s="38"/>
      <c r="J41" s="38"/>
      <c r="K41" s="38"/>
      <c r="L41" s="38"/>
      <c r="M41" s="38"/>
      <c r="N41" s="38"/>
      <c r="O41" s="38"/>
      <c r="P41" s="38"/>
      <c r="Q41" s="38"/>
      <c r="R41" s="38"/>
      <c r="S41" s="38"/>
      <c r="T41" s="41"/>
      <c r="U41" s="34"/>
    </row>
    <row r="42" spans="2:21" s="13" customFormat="1" ht="15" customHeight="1" x14ac:dyDescent="0.25">
      <c r="D42" s="34"/>
      <c r="E42" s="77">
        <v>7</v>
      </c>
      <c r="F42" s="399" t="s">
        <v>104</v>
      </c>
      <c r="G42" s="399"/>
      <c r="H42" s="399"/>
      <c r="I42" s="399"/>
      <c r="J42" s="399"/>
      <c r="K42" s="399"/>
      <c r="L42" s="399"/>
      <c r="M42" s="399"/>
      <c r="N42" s="399"/>
      <c r="O42" s="399"/>
      <c r="P42" s="399"/>
      <c r="Q42" s="399"/>
      <c r="R42" s="399"/>
      <c r="S42" s="534" t="s">
        <v>169</v>
      </c>
      <c r="T42" s="535"/>
      <c r="U42" s="34"/>
    </row>
    <row r="43" spans="2:21" s="13" customFormat="1" ht="6.75" customHeight="1" x14ac:dyDescent="0.25">
      <c r="D43" s="34"/>
      <c r="E43" s="77"/>
      <c r="F43" s="38"/>
      <c r="G43" s="38"/>
      <c r="H43" s="38"/>
      <c r="I43" s="38"/>
      <c r="J43" s="38"/>
      <c r="K43" s="38"/>
      <c r="L43" s="38"/>
      <c r="M43" s="38"/>
      <c r="N43" s="38"/>
      <c r="O43" s="38"/>
      <c r="P43" s="38"/>
      <c r="Q43" s="38"/>
      <c r="R43" s="38"/>
      <c r="S43" s="38"/>
      <c r="T43" s="41"/>
      <c r="U43" s="34"/>
    </row>
    <row r="44" spans="2:21" s="13" customFormat="1" ht="12" customHeight="1" x14ac:dyDescent="0.25">
      <c r="D44" s="34"/>
      <c r="E44" s="77">
        <v>8</v>
      </c>
      <c r="F44" s="399" t="s">
        <v>288</v>
      </c>
      <c r="G44" s="399"/>
      <c r="H44" s="399"/>
      <c r="I44" s="399"/>
      <c r="J44" s="399"/>
      <c r="K44" s="399"/>
      <c r="L44" s="399"/>
      <c r="M44" s="399"/>
      <c r="N44" s="399"/>
      <c r="O44" s="399"/>
      <c r="P44" s="399"/>
      <c r="Q44" s="399"/>
      <c r="R44" s="399"/>
      <c r="S44" s="38"/>
      <c r="T44" s="41"/>
      <c r="U44" s="34"/>
    </row>
    <row r="45" spans="2:21" s="13" customFormat="1" ht="6.75" customHeight="1" x14ac:dyDescent="0.25">
      <c r="D45" s="34"/>
      <c r="E45" s="77"/>
      <c r="F45" s="111"/>
      <c r="G45" s="111"/>
      <c r="H45" s="111"/>
      <c r="I45" s="111"/>
      <c r="J45" s="111"/>
      <c r="K45" s="111"/>
      <c r="L45" s="111"/>
      <c r="M45" s="111"/>
      <c r="N45" s="111"/>
      <c r="O45" s="111"/>
      <c r="P45" s="111"/>
      <c r="Q45" s="111"/>
      <c r="R45" s="111"/>
      <c r="S45" s="38"/>
      <c r="T45" s="41"/>
      <c r="U45" s="34"/>
    </row>
    <row r="46" spans="2:21" s="13" customFormat="1" ht="81" customHeight="1" x14ac:dyDescent="0.25">
      <c r="D46" s="34"/>
      <c r="E46" s="526"/>
      <c r="F46" s="527"/>
      <c r="G46" s="527"/>
      <c r="H46" s="527"/>
      <c r="I46" s="527"/>
      <c r="J46" s="527"/>
      <c r="K46" s="527"/>
      <c r="L46" s="527"/>
      <c r="M46" s="527"/>
      <c r="N46" s="527"/>
      <c r="O46" s="527"/>
      <c r="P46" s="527"/>
      <c r="Q46" s="527"/>
      <c r="R46" s="527"/>
      <c r="S46" s="527"/>
      <c r="T46" s="528"/>
      <c r="U46" s="34"/>
    </row>
    <row r="47" spans="2:21" s="13" customFormat="1" ht="6" customHeight="1" x14ac:dyDescent="0.25">
      <c r="D47" s="34"/>
      <c r="E47" s="37"/>
      <c r="F47" s="399"/>
      <c r="G47" s="399"/>
      <c r="H47" s="399"/>
      <c r="I47" s="399"/>
      <c r="J47" s="399"/>
      <c r="K47" s="399"/>
      <c r="L47" s="399"/>
      <c r="M47" s="399"/>
      <c r="N47" s="399"/>
      <c r="O47" s="399"/>
      <c r="P47" s="399"/>
      <c r="Q47" s="399"/>
      <c r="R47" s="399"/>
      <c r="S47" s="38"/>
      <c r="T47" s="41"/>
      <c r="U47" s="34"/>
    </row>
    <row r="48" spans="2:21" ht="9" customHeight="1" x14ac:dyDescent="0.25">
      <c r="B48" s="499" t="s">
        <v>414</v>
      </c>
      <c r="D48"/>
      <c r="E48"/>
      <c r="F48" s="112"/>
      <c r="G48" s="112"/>
      <c r="H48" s="112"/>
      <c r="I48" s="112"/>
      <c r="J48" s="112"/>
      <c r="K48" s="112"/>
      <c r="L48" s="112"/>
      <c r="M48" s="112"/>
      <c r="N48" s="112"/>
      <c r="O48" s="112"/>
      <c r="P48" s="112"/>
      <c r="Q48" s="112"/>
      <c r="R48" s="112"/>
      <c r="S48" s="112"/>
      <c r="T48" s="41"/>
      <c r="U48"/>
    </row>
    <row r="49" spans="2:26" s="13" customFormat="1" ht="5.45" customHeight="1" x14ac:dyDescent="0.25">
      <c r="B49" s="499"/>
      <c r="C49" s="3"/>
      <c r="D49" s="34"/>
      <c r="E49" s="49"/>
      <c r="F49" s="49"/>
      <c r="G49" s="50"/>
      <c r="H49" s="50"/>
      <c r="I49" s="50"/>
      <c r="J49" s="50"/>
      <c r="K49" s="50"/>
      <c r="L49" s="50"/>
      <c r="M49" s="50"/>
      <c r="N49" s="50"/>
      <c r="O49" s="50"/>
      <c r="P49" s="50"/>
      <c r="Q49" s="50"/>
      <c r="R49" s="50"/>
      <c r="S49" s="50"/>
      <c r="T49" s="41"/>
      <c r="U49" s="34"/>
    </row>
    <row r="50" spans="2:26" ht="29.45" customHeight="1" x14ac:dyDescent="0.25">
      <c r="B50" s="499"/>
      <c r="D50"/>
      <c r="E50" s="529" t="s">
        <v>391</v>
      </c>
      <c r="F50" s="529"/>
      <c r="G50" s="529"/>
      <c r="H50" s="113"/>
      <c r="I50" s="530"/>
      <c r="J50" s="531"/>
      <c r="K50" s="531"/>
      <c r="L50" s="531"/>
      <c r="M50" s="531"/>
      <c r="N50" s="532"/>
      <c r="O50" s="113"/>
      <c r="P50" s="114" t="s">
        <v>51</v>
      </c>
      <c r="Q50" s="113"/>
      <c r="R50" s="539"/>
      <c r="S50" s="540"/>
      <c r="T50" s="41"/>
      <c r="U50"/>
    </row>
    <row r="51" spans="2:26" ht="6.6" customHeight="1" x14ac:dyDescent="0.25">
      <c r="B51" s="499"/>
      <c r="D51"/>
      <c r="E51"/>
      <c r="F51"/>
      <c r="G51"/>
      <c r="H51"/>
      <c r="I51"/>
      <c r="J51"/>
      <c r="K51"/>
      <c r="L51"/>
      <c r="M51"/>
      <c r="N51"/>
      <c r="O51"/>
      <c r="P51"/>
      <c r="Q51"/>
      <c r="R51"/>
      <c r="S51"/>
      <c r="T51" s="41"/>
      <c r="U51"/>
    </row>
    <row r="52" spans="2:26" ht="28.9" customHeight="1" x14ac:dyDescent="0.25">
      <c r="B52" s="499"/>
      <c r="D52"/>
      <c r="E52" s="529" t="s">
        <v>392</v>
      </c>
      <c r="F52" s="529"/>
      <c r="G52" s="529"/>
      <c r="H52" s="113"/>
      <c r="I52" s="530"/>
      <c r="J52" s="531"/>
      <c r="K52" s="531"/>
      <c r="L52" s="531"/>
      <c r="M52" s="531"/>
      <c r="N52" s="532"/>
      <c r="O52" s="113"/>
      <c r="P52" s="114"/>
      <c r="Q52" s="113"/>
      <c r="R52" s="533"/>
      <c r="S52" s="533"/>
      <c r="T52" s="41"/>
      <c r="U52"/>
    </row>
    <row r="53" spans="2:26" ht="20.45" customHeight="1" x14ac:dyDescent="0.25">
      <c r="B53" s="499"/>
      <c r="D53"/>
      <c r="E53"/>
      <c r="F53"/>
      <c r="G53"/>
      <c r="H53"/>
      <c r="I53"/>
      <c r="J53"/>
      <c r="K53"/>
      <c r="L53"/>
      <c r="M53"/>
      <c r="N53"/>
      <c r="O53"/>
      <c r="P53"/>
      <c r="Q53"/>
      <c r="R53"/>
      <c r="S53"/>
      <c r="T53" s="41"/>
      <c r="U53"/>
    </row>
    <row r="54" spans="2:26" x14ac:dyDescent="0.25">
      <c r="B54" s="499"/>
      <c r="D54"/>
      <c r="E54" s="51"/>
      <c r="F54" s="407" t="s">
        <v>22</v>
      </c>
      <c r="G54" s="407"/>
      <c r="H54" s="407"/>
      <c r="I54" s="407"/>
      <c r="J54" s="407"/>
      <c r="K54" s="407"/>
      <c r="L54" s="407"/>
      <c r="M54" s="407"/>
      <c r="N54" s="407"/>
      <c r="O54" s="407"/>
      <c r="P54" s="407"/>
      <c r="Q54" s="407"/>
      <c r="R54" s="407"/>
      <c r="S54" s="407"/>
      <c r="T54" s="52"/>
      <c r="U54" s="52"/>
      <c r="V54" s="16"/>
      <c r="W54" s="16"/>
      <c r="X54" s="16"/>
      <c r="Y54" s="15"/>
      <c r="Z54" s="15"/>
    </row>
    <row r="55" spans="2:26" x14ac:dyDescent="0.25">
      <c r="B55" s="499"/>
      <c r="D55"/>
      <c r="E55" s="408"/>
      <c r="F55" s="408"/>
      <c r="G55" s="408"/>
      <c r="H55" s="408"/>
      <c r="I55" s="408"/>
      <c r="J55" s="408"/>
      <c r="K55" s="408"/>
      <c r="L55" s="408"/>
      <c r="M55" s="408"/>
      <c r="N55" s="408"/>
      <c r="O55" s="408"/>
      <c r="P55" s="408"/>
      <c r="Q55" s="408"/>
      <c r="R55" s="408"/>
      <c r="S55" s="408"/>
      <c r="T55" s="408"/>
      <c r="U55" s="52"/>
      <c r="V55" s="16"/>
      <c r="W55" s="16"/>
      <c r="X55" s="16"/>
    </row>
    <row r="56" spans="2:26" x14ac:dyDescent="0.25">
      <c r="B56" s="499"/>
      <c r="D56"/>
      <c r="E56" s="393"/>
      <c r="F56" s="393"/>
      <c r="G56" s="393"/>
      <c r="H56" s="393"/>
      <c r="I56" s="393"/>
      <c r="J56" s="393"/>
      <c r="K56" s="393"/>
      <c r="L56" s="393"/>
      <c r="M56" s="393"/>
      <c r="N56" s="393"/>
      <c r="O56" s="393"/>
      <c r="P56" s="393"/>
      <c r="Q56" s="393"/>
      <c r="R56" s="393"/>
      <c r="S56" s="393"/>
      <c r="T56" s="393"/>
      <c r="U56" s="52"/>
      <c r="V56" s="16"/>
      <c r="W56" s="16"/>
      <c r="X56" s="16"/>
    </row>
    <row r="57" spans="2:26" x14ac:dyDescent="0.25">
      <c r="U57" s="16"/>
      <c r="V57" s="16"/>
      <c r="W57" s="16"/>
      <c r="X57" s="16"/>
    </row>
    <row r="58" spans="2:26" x14ac:dyDescent="0.25">
      <c r="E58" s="426"/>
      <c r="F58" s="426"/>
      <c r="G58" s="426"/>
      <c r="H58" s="426"/>
      <c r="I58" s="426"/>
      <c r="J58" s="426"/>
      <c r="K58" s="426"/>
      <c r="L58" s="426"/>
      <c r="M58" s="426"/>
      <c r="N58" s="426"/>
      <c r="O58" s="426"/>
      <c r="P58" s="426"/>
      <c r="Q58" s="426"/>
      <c r="R58" s="426"/>
      <c r="S58" s="426"/>
      <c r="T58" s="426"/>
    </row>
  </sheetData>
  <sheetProtection algorithmName="SHA-512" hashValue="b6UJXuwMkH8fCX2von7rgHWa/oxMY5tGRwRtyy8h8AL4Mqh6xh9Jj9YtPcXleUo/uKCNCeznOrvveu2bXW0pdg==" saltValue="d8vwjeSW5cpB5mAoP8RnAg==" spinCount="100000" sheet="1" selectLockedCells="1"/>
  <mergeCells count="55">
    <mergeCell ref="E50:G50"/>
    <mergeCell ref="I50:N50"/>
    <mergeCell ref="R50:S50"/>
    <mergeCell ref="I22:N22"/>
    <mergeCell ref="Q22:T22"/>
    <mergeCell ref="N24:O24"/>
    <mergeCell ref="K26:N26"/>
    <mergeCell ref="E26:H26"/>
    <mergeCell ref="E28:H28"/>
    <mergeCell ref="I24:L24"/>
    <mergeCell ref="S24:T24"/>
    <mergeCell ref="F40:R40"/>
    <mergeCell ref="F42:R42"/>
    <mergeCell ref="F44:R44"/>
    <mergeCell ref="F47:R47"/>
    <mergeCell ref="E55:T55"/>
    <mergeCell ref="E56:T56"/>
    <mergeCell ref="E58:T58"/>
    <mergeCell ref="I6:P6"/>
    <mergeCell ref="I7:P7"/>
    <mergeCell ref="E10:T10"/>
    <mergeCell ref="E30:T30"/>
    <mergeCell ref="E36:T36"/>
    <mergeCell ref="F34:R34"/>
    <mergeCell ref="F54:S54"/>
    <mergeCell ref="E46:T46"/>
    <mergeCell ref="E52:G52"/>
    <mergeCell ref="I52:N52"/>
    <mergeCell ref="R52:S52"/>
    <mergeCell ref="S42:T42"/>
    <mergeCell ref="G12:J12"/>
    <mergeCell ref="S12:T12"/>
    <mergeCell ref="E14:T14"/>
    <mergeCell ref="F39:R39"/>
    <mergeCell ref="F38:P38"/>
    <mergeCell ref="I28:N28"/>
    <mergeCell ref="F32:P32"/>
    <mergeCell ref="F33:P33"/>
    <mergeCell ref="Q28:T28"/>
    <mergeCell ref="B48:B56"/>
    <mergeCell ref="E15:T17"/>
    <mergeCell ref="O26:T26"/>
    <mergeCell ref="R7:T7"/>
    <mergeCell ref="I3:P3"/>
    <mergeCell ref="R3:T3"/>
    <mergeCell ref="E20:T20"/>
    <mergeCell ref="E22:H22"/>
    <mergeCell ref="E4:G6"/>
    <mergeCell ref="I4:P4"/>
    <mergeCell ref="R4:T4"/>
    <mergeCell ref="I5:P5"/>
    <mergeCell ref="R5:T6"/>
    <mergeCell ref="E3:G3"/>
    <mergeCell ref="E24:H24"/>
    <mergeCell ref="E12:F12"/>
  </mergeCells>
  <printOptions horizontalCentered="1"/>
  <pageMargins left="0.25" right="0.25" top="0.5" bottom="0.5" header="0.3" footer="0.3"/>
  <pageSetup scale="80" orientation="portrait" r:id="rId1"/>
  <headerFooter>
    <oddFooter>&amp;RMHC Rev. 03/2025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8" r:id="rId4" name="Check Box 4">
              <controlPr defaultSize="0" autoFill="0" autoLine="0" autoPict="0">
                <anchor moveWithCells="1">
                  <from>
                    <xdr:col>18</xdr:col>
                    <xdr:colOff>95250</xdr:colOff>
                    <xdr:row>31</xdr:row>
                    <xdr:rowOff>9525</xdr:rowOff>
                  </from>
                  <to>
                    <xdr:col>18</xdr:col>
                    <xdr:colOff>361950</xdr:colOff>
                    <xdr:row>32</xdr:row>
                    <xdr:rowOff>28575</xdr:rowOff>
                  </to>
                </anchor>
              </controlPr>
            </control>
          </mc:Choice>
        </mc:AlternateContent>
        <mc:AlternateContent xmlns:mc="http://schemas.openxmlformats.org/markup-compatibility/2006">
          <mc:Choice Requires="x14">
            <control shapeId="6180" r:id="rId5" name="Check Box 36">
              <controlPr defaultSize="0" autoFill="0" autoLine="0" autoPict="0">
                <anchor moveWithCells="1">
                  <from>
                    <xdr:col>19</xdr:col>
                    <xdr:colOff>104775</xdr:colOff>
                    <xdr:row>31</xdr:row>
                    <xdr:rowOff>19050</xdr:rowOff>
                  </from>
                  <to>
                    <xdr:col>19</xdr:col>
                    <xdr:colOff>371475</xdr:colOff>
                    <xdr:row>32</xdr:row>
                    <xdr:rowOff>28575</xdr:rowOff>
                  </to>
                </anchor>
              </controlPr>
            </control>
          </mc:Choice>
        </mc:AlternateContent>
        <mc:AlternateContent xmlns:mc="http://schemas.openxmlformats.org/markup-compatibility/2006">
          <mc:Choice Requires="x14">
            <control shapeId="6208" r:id="rId6" name="Check Box 64">
              <controlPr defaultSize="0" autoFill="0" autoLine="0" autoPict="0">
                <anchor moveWithCells="1">
                  <from>
                    <xdr:col>18</xdr:col>
                    <xdr:colOff>95250</xdr:colOff>
                    <xdr:row>31</xdr:row>
                    <xdr:rowOff>238125</xdr:rowOff>
                  </from>
                  <to>
                    <xdr:col>18</xdr:col>
                    <xdr:colOff>361950</xdr:colOff>
                    <xdr:row>33</xdr:row>
                    <xdr:rowOff>38100</xdr:rowOff>
                  </to>
                </anchor>
              </controlPr>
            </control>
          </mc:Choice>
        </mc:AlternateContent>
        <mc:AlternateContent xmlns:mc="http://schemas.openxmlformats.org/markup-compatibility/2006">
          <mc:Choice Requires="x14">
            <control shapeId="6209" r:id="rId7" name="Check Box 65">
              <controlPr defaultSize="0" autoFill="0" autoLine="0" autoPict="0">
                <anchor moveWithCells="1">
                  <from>
                    <xdr:col>19</xdr:col>
                    <xdr:colOff>104775</xdr:colOff>
                    <xdr:row>31</xdr:row>
                    <xdr:rowOff>238125</xdr:rowOff>
                  </from>
                  <to>
                    <xdr:col>19</xdr:col>
                    <xdr:colOff>371475</xdr:colOff>
                    <xdr:row>33</xdr:row>
                    <xdr:rowOff>38100</xdr:rowOff>
                  </to>
                </anchor>
              </controlPr>
            </control>
          </mc:Choice>
        </mc:AlternateContent>
        <mc:AlternateContent xmlns:mc="http://schemas.openxmlformats.org/markup-compatibility/2006">
          <mc:Choice Requires="x14">
            <control shapeId="6218" r:id="rId8" name="Check Box 74">
              <controlPr defaultSize="0" autoFill="0" autoLine="0" autoPict="0">
                <anchor moveWithCells="1">
                  <from>
                    <xdr:col>18</xdr:col>
                    <xdr:colOff>95250</xdr:colOff>
                    <xdr:row>33</xdr:row>
                    <xdr:rowOff>9525</xdr:rowOff>
                  </from>
                  <to>
                    <xdr:col>18</xdr:col>
                    <xdr:colOff>361950</xdr:colOff>
                    <xdr:row>34</xdr:row>
                    <xdr:rowOff>47625</xdr:rowOff>
                  </to>
                </anchor>
              </controlPr>
            </control>
          </mc:Choice>
        </mc:AlternateContent>
        <mc:AlternateContent xmlns:mc="http://schemas.openxmlformats.org/markup-compatibility/2006">
          <mc:Choice Requires="x14">
            <control shapeId="6219" r:id="rId9" name="Check Box 75">
              <controlPr defaultSize="0" autoFill="0" autoLine="0" autoPict="0">
                <anchor moveWithCells="1">
                  <from>
                    <xdr:col>19</xdr:col>
                    <xdr:colOff>104775</xdr:colOff>
                    <xdr:row>33</xdr:row>
                    <xdr:rowOff>9525</xdr:rowOff>
                  </from>
                  <to>
                    <xdr:col>19</xdr:col>
                    <xdr:colOff>371475</xdr:colOff>
                    <xdr:row>34</xdr:row>
                    <xdr:rowOff>47625</xdr:rowOff>
                  </to>
                </anchor>
              </controlPr>
            </control>
          </mc:Choice>
        </mc:AlternateContent>
        <mc:AlternateContent xmlns:mc="http://schemas.openxmlformats.org/markup-compatibility/2006">
          <mc:Choice Requires="x14">
            <control shapeId="6221" r:id="rId10" name="Check Box 77">
              <controlPr defaultSize="0" autoFill="0" autoLine="0" autoPict="0">
                <anchor moveWithCells="1">
                  <from>
                    <xdr:col>18</xdr:col>
                    <xdr:colOff>95250</xdr:colOff>
                    <xdr:row>37</xdr:row>
                    <xdr:rowOff>9525</xdr:rowOff>
                  </from>
                  <to>
                    <xdr:col>18</xdr:col>
                    <xdr:colOff>361950</xdr:colOff>
                    <xdr:row>38</xdr:row>
                    <xdr:rowOff>47625</xdr:rowOff>
                  </to>
                </anchor>
              </controlPr>
            </control>
          </mc:Choice>
        </mc:AlternateContent>
        <mc:AlternateContent xmlns:mc="http://schemas.openxmlformats.org/markup-compatibility/2006">
          <mc:Choice Requires="x14">
            <control shapeId="6222" r:id="rId11" name="Check Box 78">
              <controlPr defaultSize="0" autoFill="0" autoLine="0" autoPict="0">
                <anchor moveWithCells="1">
                  <from>
                    <xdr:col>19</xdr:col>
                    <xdr:colOff>104775</xdr:colOff>
                    <xdr:row>37</xdr:row>
                    <xdr:rowOff>19050</xdr:rowOff>
                  </from>
                  <to>
                    <xdr:col>19</xdr:col>
                    <xdr:colOff>371475</xdr:colOff>
                    <xdr:row>38</xdr:row>
                    <xdr:rowOff>57150</xdr:rowOff>
                  </to>
                </anchor>
              </controlPr>
            </control>
          </mc:Choice>
        </mc:AlternateContent>
        <mc:AlternateContent xmlns:mc="http://schemas.openxmlformats.org/markup-compatibility/2006">
          <mc:Choice Requires="x14">
            <control shapeId="6223" r:id="rId12" name="Check Box 79">
              <controlPr defaultSize="0" autoFill="0" autoLine="0" autoPict="0">
                <anchor moveWithCells="1">
                  <from>
                    <xdr:col>18</xdr:col>
                    <xdr:colOff>95250</xdr:colOff>
                    <xdr:row>38</xdr:row>
                    <xdr:rowOff>0</xdr:rowOff>
                  </from>
                  <to>
                    <xdr:col>18</xdr:col>
                    <xdr:colOff>361950</xdr:colOff>
                    <xdr:row>39</xdr:row>
                    <xdr:rowOff>38100</xdr:rowOff>
                  </to>
                </anchor>
              </controlPr>
            </control>
          </mc:Choice>
        </mc:AlternateContent>
        <mc:AlternateContent xmlns:mc="http://schemas.openxmlformats.org/markup-compatibility/2006">
          <mc:Choice Requires="x14">
            <control shapeId="6224" r:id="rId13" name="Check Box 80">
              <controlPr defaultSize="0" autoFill="0" autoLine="0" autoPict="0">
                <anchor moveWithCells="1">
                  <from>
                    <xdr:col>19</xdr:col>
                    <xdr:colOff>104775</xdr:colOff>
                    <xdr:row>38</xdr:row>
                    <xdr:rowOff>0</xdr:rowOff>
                  </from>
                  <to>
                    <xdr:col>19</xdr:col>
                    <xdr:colOff>371475</xdr:colOff>
                    <xdr:row>39</xdr:row>
                    <xdr:rowOff>38100</xdr:rowOff>
                  </to>
                </anchor>
              </controlPr>
            </control>
          </mc:Choice>
        </mc:AlternateContent>
        <mc:AlternateContent xmlns:mc="http://schemas.openxmlformats.org/markup-compatibility/2006">
          <mc:Choice Requires="x14">
            <control shapeId="6225" r:id="rId14" name="Check Box 81">
              <controlPr defaultSize="0" autoFill="0" autoLine="0" autoPict="0">
                <anchor moveWithCells="1">
                  <from>
                    <xdr:col>18</xdr:col>
                    <xdr:colOff>95250</xdr:colOff>
                    <xdr:row>39</xdr:row>
                    <xdr:rowOff>9525</xdr:rowOff>
                  </from>
                  <to>
                    <xdr:col>18</xdr:col>
                    <xdr:colOff>361950</xdr:colOff>
                    <xdr:row>41</xdr:row>
                    <xdr:rowOff>9525</xdr:rowOff>
                  </to>
                </anchor>
              </controlPr>
            </control>
          </mc:Choice>
        </mc:AlternateContent>
        <mc:AlternateContent xmlns:mc="http://schemas.openxmlformats.org/markup-compatibility/2006">
          <mc:Choice Requires="x14">
            <control shapeId="6226" r:id="rId15" name="Check Box 82">
              <controlPr defaultSize="0" autoFill="0" autoLine="0" autoPict="0">
                <anchor moveWithCells="1">
                  <from>
                    <xdr:col>19</xdr:col>
                    <xdr:colOff>104775</xdr:colOff>
                    <xdr:row>39</xdr:row>
                    <xdr:rowOff>9525</xdr:rowOff>
                  </from>
                  <to>
                    <xdr:col>19</xdr:col>
                    <xdr:colOff>371475</xdr:colOff>
                    <xdr:row>41</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CODES!$K$5:$K$14</xm:f>
          </x14:formula1>
          <xm:sqref>S42:T42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3" tint="0.249977111117893"/>
  </sheetPr>
  <dimension ref="B2:X118"/>
  <sheetViews>
    <sheetView showGridLines="0" topLeftCell="A41" zoomScaleNormal="100" workbookViewId="0">
      <selection activeCell="H10" sqref="H10:K10"/>
    </sheetView>
  </sheetViews>
  <sheetFormatPr defaultColWidth="8.85546875" defaultRowHeight="15" x14ac:dyDescent="0.25"/>
  <cols>
    <col min="1" max="1" width="3" style="3" customWidth="1"/>
    <col min="2" max="2" width="51.42578125" style="3" customWidth="1"/>
    <col min="3" max="3" width="2" style="3" customWidth="1"/>
    <col min="4" max="4" width="5.42578125" style="3" customWidth="1"/>
    <col min="5" max="5" width="3.28515625" style="3" customWidth="1"/>
    <col min="6" max="6" width="4.7109375" style="3" customWidth="1"/>
    <col min="7" max="7" width="10.140625" style="3" customWidth="1"/>
    <col min="8" max="8" width="5.140625" style="3" customWidth="1"/>
    <col min="9" max="14" width="10.140625" style="3" customWidth="1"/>
    <col min="15" max="15" width="11.28515625" style="3" customWidth="1"/>
    <col min="16" max="16" width="1.140625" style="3" customWidth="1"/>
    <col min="17" max="17" width="4.140625" style="3" customWidth="1"/>
    <col min="18" max="18" width="4.7109375" style="3" customWidth="1"/>
    <col min="19" max="19" width="3.7109375" style="3" customWidth="1"/>
    <col min="20" max="20" width="0.7109375" style="3" customWidth="1"/>
    <col min="21" max="21" width="3.28515625" style="3" customWidth="1"/>
    <col min="22" max="22" width="1" style="3" customWidth="1"/>
    <col min="23" max="23" width="3.28515625" style="118" customWidth="1"/>
    <col min="24" max="24" width="8.85546875" style="3"/>
    <col min="25" max="25" width="3.42578125" style="3" customWidth="1"/>
    <col min="26" max="26" width="1.7109375" style="3" customWidth="1"/>
    <col min="27" max="27" width="3.42578125" style="3" customWidth="1"/>
    <col min="28" max="28" width="1.7109375" style="3" customWidth="1"/>
    <col min="29" max="29" width="3.42578125" style="3" customWidth="1"/>
    <col min="30" max="16384" width="8.85546875" style="3"/>
  </cols>
  <sheetData>
    <row r="2" spans="4:23" s="6" customFormat="1" ht="20.25" customHeight="1" x14ac:dyDescent="0.25">
      <c r="D2" s="565" t="s">
        <v>290</v>
      </c>
      <c r="E2" s="565"/>
      <c r="F2" s="565"/>
      <c r="G2" s="565"/>
      <c r="H2" s="565"/>
      <c r="I2" s="17"/>
      <c r="J2" s="17"/>
      <c r="K2" s="17"/>
      <c r="L2" s="17"/>
      <c r="M2" s="17"/>
      <c r="N2" s="17"/>
      <c r="O2" s="17"/>
      <c r="P2" s="17"/>
      <c r="Q2" s="17"/>
      <c r="R2" s="17"/>
      <c r="S2" s="17"/>
      <c r="T2" s="17"/>
      <c r="U2" s="17"/>
      <c r="V2" s="17"/>
      <c r="W2" s="20"/>
    </row>
    <row r="3" spans="4:23" s="6" customFormat="1" ht="15.6" customHeight="1" x14ac:dyDescent="0.25">
      <c r="D3" s="565"/>
      <c r="E3" s="565"/>
      <c r="F3" s="565"/>
      <c r="G3" s="565"/>
      <c r="H3" s="565"/>
      <c r="I3" s="562"/>
      <c r="J3" s="562"/>
      <c r="K3" s="562"/>
      <c r="L3" s="562"/>
      <c r="M3" s="562"/>
      <c r="N3" s="562"/>
      <c r="O3" s="562"/>
      <c r="P3" s="17"/>
      <c r="Q3" s="17"/>
      <c r="R3" s="17"/>
      <c r="S3" s="17"/>
      <c r="T3" s="17"/>
      <c r="U3" s="17"/>
      <c r="V3" s="17"/>
      <c r="W3" s="20"/>
    </row>
    <row r="4" spans="4:23" s="6" customFormat="1" ht="23.45" customHeight="1" x14ac:dyDescent="0.25">
      <c r="D4" s="572"/>
      <c r="E4" s="572"/>
      <c r="F4" s="572"/>
      <c r="G4" s="572"/>
      <c r="H4" s="573"/>
      <c r="I4" s="562" t="s">
        <v>196</v>
      </c>
      <c r="J4" s="562"/>
      <c r="K4" s="562"/>
      <c r="L4" s="562"/>
      <c r="M4" s="562"/>
      <c r="N4" s="562"/>
      <c r="O4" s="562"/>
      <c r="P4" s="413" t="s">
        <v>1240</v>
      </c>
      <c r="Q4" s="414"/>
      <c r="R4" s="414"/>
      <c r="S4" s="414"/>
      <c r="T4" s="414"/>
      <c r="U4" s="414"/>
      <c r="V4" s="414"/>
      <c r="W4" s="414"/>
    </row>
    <row r="5" spans="4:23" s="6" customFormat="1" ht="13.9" customHeight="1" x14ac:dyDescent="0.25">
      <c r="D5" s="572"/>
      <c r="E5" s="572"/>
      <c r="F5" s="572"/>
      <c r="G5" s="572"/>
      <c r="H5" s="573"/>
      <c r="I5" s="569" t="s">
        <v>117</v>
      </c>
      <c r="J5" s="570"/>
      <c r="K5" s="570"/>
      <c r="L5" s="570"/>
      <c r="M5" s="570"/>
      <c r="N5" s="570"/>
      <c r="O5" s="571"/>
      <c r="P5" s="17"/>
      <c r="Q5" s="417">
        <v>2024</v>
      </c>
      <c r="R5" s="417"/>
      <c r="S5" s="417"/>
      <c r="T5" s="417"/>
      <c r="U5" s="417"/>
      <c r="V5" s="417"/>
      <c r="W5" s="417"/>
    </row>
    <row r="6" spans="4:23" s="6" customFormat="1" ht="22.15" customHeight="1" x14ac:dyDescent="0.25">
      <c r="D6" s="126"/>
      <c r="E6" s="126"/>
      <c r="F6" s="126"/>
      <c r="G6" s="126"/>
      <c r="H6" s="126"/>
      <c r="I6" s="569"/>
      <c r="J6" s="570"/>
      <c r="K6" s="570"/>
      <c r="L6" s="570"/>
      <c r="M6" s="570"/>
      <c r="N6" s="570"/>
      <c r="O6" s="571"/>
      <c r="P6" s="17"/>
      <c r="Q6" s="419"/>
      <c r="R6" s="419"/>
      <c r="S6" s="419"/>
      <c r="T6" s="419"/>
      <c r="U6" s="419"/>
      <c r="V6" s="419"/>
      <c r="W6" s="419"/>
    </row>
    <row r="7" spans="4:23" s="6" customFormat="1" ht="30.6" customHeight="1" thickBot="1" x14ac:dyDescent="0.3">
      <c r="D7" s="127"/>
      <c r="E7" s="127"/>
      <c r="F7" s="17"/>
      <c r="G7" s="17"/>
      <c r="H7" s="17"/>
      <c r="I7" s="559" t="s">
        <v>1245</v>
      </c>
      <c r="J7" s="560"/>
      <c r="K7" s="560"/>
      <c r="L7" s="560"/>
      <c r="M7" s="560"/>
      <c r="N7" s="560"/>
      <c r="O7" s="561"/>
      <c r="P7" s="423" t="s">
        <v>1</v>
      </c>
      <c r="Q7" s="424"/>
      <c r="R7" s="424"/>
      <c r="S7" s="424"/>
      <c r="T7" s="424"/>
      <c r="U7" s="424"/>
      <c r="V7" s="424"/>
      <c r="W7" s="424"/>
    </row>
    <row r="8" spans="4:23" s="6" customFormat="1" ht="4.1500000000000004" customHeight="1" x14ac:dyDescent="0.25">
      <c r="D8" s="42"/>
      <c r="E8" s="42"/>
      <c r="F8" s="42"/>
      <c r="G8" s="42"/>
      <c r="H8" s="42"/>
      <c r="I8" s="42"/>
      <c r="J8" s="42"/>
      <c r="K8" s="42"/>
      <c r="L8" s="42"/>
      <c r="M8" s="42"/>
      <c r="N8" s="42"/>
      <c r="O8" s="42"/>
      <c r="P8" s="42"/>
      <c r="Q8" s="42"/>
      <c r="R8" s="42"/>
      <c r="S8" s="42"/>
      <c r="T8" s="42"/>
      <c r="U8" s="42"/>
      <c r="V8" s="42"/>
      <c r="W8" s="128"/>
    </row>
    <row r="9" spans="4:23" s="6" customFormat="1" ht="6" customHeight="1" x14ac:dyDescent="0.25">
      <c r="D9" s="17"/>
      <c r="E9" s="17"/>
      <c r="F9" s="17"/>
      <c r="G9" s="17"/>
      <c r="H9" s="17"/>
      <c r="I9" s="17"/>
      <c r="J9" s="17"/>
      <c r="K9" s="17"/>
      <c r="L9" s="17"/>
      <c r="M9" s="17"/>
      <c r="N9" s="17"/>
      <c r="O9" s="17"/>
      <c r="P9" s="17"/>
      <c r="Q9" s="17"/>
      <c r="R9" s="17"/>
      <c r="S9" s="17"/>
      <c r="T9" s="17"/>
      <c r="U9" s="17"/>
      <c r="V9" s="17"/>
      <c r="W9" s="20"/>
    </row>
    <row r="10" spans="4:23" s="6" customFormat="1" ht="16.5" customHeight="1" x14ac:dyDescent="0.25">
      <c r="D10" s="430" t="s">
        <v>2</v>
      </c>
      <c r="E10" s="430"/>
      <c r="F10" s="430"/>
      <c r="G10" s="431"/>
      <c r="H10" s="536"/>
      <c r="I10" s="537"/>
      <c r="J10" s="537"/>
      <c r="K10" s="538"/>
      <c r="L10" s="17"/>
      <c r="M10" s="17"/>
      <c r="N10" s="29"/>
      <c r="O10" s="32" t="s">
        <v>3</v>
      </c>
      <c r="P10" s="29"/>
      <c r="Q10" s="20" t="s">
        <v>4</v>
      </c>
      <c r="R10" s="516"/>
      <c r="S10" s="566"/>
      <c r="T10" s="566"/>
      <c r="U10" s="566"/>
      <c r="V10" s="566"/>
      <c r="W10" s="517"/>
    </row>
    <row r="11" spans="4:23" s="6" customFormat="1" ht="7.15" customHeight="1" x14ac:dyDescent="0.25">
      <c r="D11" s="427"/>
      <c r="E11" s="427"/>
      <c r="F11" s="427"/>
      <c r="G11" s="427"/>
      <c r="H11" s="427"/>
      <c r="I11" s="427"/>
      <c r="J11" s="427"/>
      <c r="K11" s="427"/>
      <c r="L11" s="427"/>
      <c r="M11" s="427"/>
      <c r="N11" s="427"/>
      <c r="O11" s="427"/>
      <c r="P11" s="427"/>
      <c r="Q11" s="427"/>
      <c r="R11" s="427"/>
      <c r="S11" s="20"/>
      <c r="T11" s="20"/>
      <c r="U11" s="20"/>
      <c r="V11" s="20"/>
      <c r="W11" s="20"/>
    </row>
    <row r="12" spans="4:23" s="6" customFormat="1" ht="16.899999999999999" customHeight="1" x14ac:dyDescent="0.25">
      <c r="D12" s="430" t="s">
        <v>118</v>
      </c>
      <c r="E12" s="430"/>
      <c r="F12" s="431"/>
      <c r="G12" s="536"/>
      <c r="H12" s="537"/>
      <c r="I12" s="537"/>
      <c r="J12" s="537"/>
      <c r="K12" s="537"/>
      <c r="L12" s="537"/>
      <c r="M12" s="538"/>
      <c r="N12" s="574" t="s">
        <v>330</v>
      </c>
      <c r="O12" s="575"/>
      <c r="P12" s="575"/>
      <c r="Q12" s="575"/>
      <c r="R12" s="575"/>
      <c r="S12" s="576"/>
      <c r="T12" s="29"/>
      <c r="U12" s="138"/>
      <c r="V12" s="29"/>
      <c r="W12" s="130"/>
    </row>
    <row r="13" spans="4:23" s="6" customFormat="1" ht="5.45" customHeight="1" x14ac:dyDescent="0.25">
      <c r="D13" s="29"/>
      <c r="E13" s="29"/>
      <c r="F13" s="29"/>
      <c r="G13" s="29"/>
      <c r="H13" s="29"/>
      <c r="I13" s="29"/>
      <c r="J13" s="29"/>
      <c r="K13" s="29"/>
      <c r="L13" s="29"/>
      <c r="M13" s="29"/>
      <c r="N13" s="29"/>
      <c r="O13" s="20"/>
      <c r="P13" s="20"/>
      <c r="Q13" s="17"/>
      <c r="R13" s="17"/>
      <c r="S13" s="17"/>
      <c r="T13" s="17"/>
      <c r="U13" s="17"/>
      <c r="V13" s="17"/>
      <c r="W13" s="20"/>
    </row>
    <row r="14" spans="4:23" s="6" customFormat="1" ht="3.6" customHeight="1" thickBot="1" x14ac:dyDescent="0.3">
      <c r="D14" s="17"/>
      <c r="E14" s="17"/>
      <c r="F14" s="17"/>
      <c r="G14" s="17"/>
      <c r="H14" s="17"/>
      <c r="I14" s="17"/>
      <c r="J14" s="17"/>
      <c r="K14" s="17"/>
      <c r="L14" s="17"/>
      <c r="M14" s="17"/>
      <c r="N14" s="17"/>
      <c r="O14" s="17"/>
      <c r="P14" s="17"/>
      <c r="Q14" s="17"/>
      <c r="R14" s="17"/>
      <c r="S14" s="17"/>
      <c r="T14" s="17"/>
      <c r="U14" s="17"/>
      <c r="V14" s="17"/>
      <c r="W14" s="20"/>
    </row>
    <row r="15" spans="4:23" s="6" customFormat="1" ht="3.6" customHeight="1" x14ac:dyDescent="0.25">
      <c r="D15" s="42"/>
      <c r="E15" s="42"/>
      <c r="F15" s="42"/>
      <c r="G15" s="42"/>
      <c r="H15" s="42"/>
      <c r="I15" s="42"/>
      <c r="J15" s="42"/>
      <c r="K15" s="42"/>
      <c r="L15" s="42"/>
      <c r="M15" s="42"/>
      <c r="N15" s="42"/>
      <c r="O15" s="42"/>
      <c r="P15" s="42"/>
      <c r="Q15" s="42"/>
      <c r="R15" s="42"/>
      <c r="S15" s="42"/>
      <c r="T15" s="42"/>
      <c r="U15" s="42"/>
      <c r="V15" s="42"/>
      <c r="W15" s="128"/>
    </row>
    <row r="16" spans="4:23" s="6" customFormat="1" ht="25.9" customHeight="1" x14ac:dyDescent="0.25">
      <c r="D16" s="577" t="s">
        <v>417</v>
      </c>
      <c r="E16" s="577"/>
      <c r="F16" s="577"/>
      <c r="G16" s="577"/>
      <c r="H16" s="577"/>
      <c r="I16" s="577"/>
      <c r="J16" s="577"/>
      <c r="K16" s="577"/>
      <c r="L16" s="577"/>
      <c r="M16" s="577"/>
      <c r="N16" s="577"/>
      <c r="O16" s="577"/>
      <c r="P16" s="577"/>
      <c r="Q16" s="577"/>
      <c r="R16" s="577"/>
      <c r="S16" s="577"/>
      <c r="T16" s="577"/>
      <c r="U16" s="577"/>
      <c r="V16" s="577"/>
      <c r="W16" s="577"/>
    </row>
    <row r="17" spans="4:23" s="6" customFormat="1" ht="7.15" customHeight="1" thickBot="1" x14ac:dyDescent="0.3">
      <c r="D17" s="130"/>
      <c r="E17" s="130"/>
      <c r="F17" s="131"/>
      <c r="G17" s="131"/>
      <c r="H17" s="131"/>
      <c r="I17" s="131"/>
      <c r="J17" s="131"/>
      <c r="K17" s="131"/>
      <c r="L17" s="131"/>
      <c r="M17" s="131"/>
      <c r="N17" s="131"/>
      <c r="O17" s="131"/>
      <c r="P17" s="131"/>
      <c r="Q17" s="131"/>
      <c r="R17" s="130"/>
      <c r="S17" s="130"/>
      <c r="T17" s="130"/>
      <c r="U17" s="130"/>
      <c r="V17" s="130"/>
      <c r="W17" s="130"/>
    </row>
    <row r="18" spans="4:23" s="6" customFormat="1" ht="20.45" customHeight="1" thickBot="1" x14ac:dyDescent="0.3">
      <c r="D18" s="401" t="s">
        <v>121</v>
      </c>
      <c r="E18" s="558"/>
      <c r="F18" s="558"/>
      <c r="G18" s="403" t="s">
        <v>122</v>
      </c>
      <c r="H18" s="404"/>
      <c r="I18" s="404"/>
      <c r="J18" s="404"/>
      <c r="K18" s="404"/>
      <c r="L18" s="404"/>
      <c r="M18" s="404"/>
      <c r="N18" s="404"/>
      <c r="O18" s="404"/>
      <c r="P18" s="404"/>
      <c r="Q18" s="404"/>
      <c r="R18" s="132"/>
      <c r="S18" s="133"/>
      <c r="T18" s="133"/>
      <c r="U18" s="133"/>
      <c r="V18" s="133"/>
      <c r="W18" s="134"/>
    </row>
    <row r="19" spans="4:23" s="6" customFormat="1" ht="5.45" customHeight="1" x14ac:dyDescent="0.25">
      <c r="D19" s="44"/>
      <c r="E19" s="44"/>
      <c r="F19" s="44"/>
      <c r="G19" s="44"/>
      <c r="H19" s="44"/>
      <c r="I19" s="44"/>
      <c r="J19" s="44"/>
      <c r="K19" s="44"/>
      <c r="L19" s="44"/>
      <c r="M19" s="44"/>
      <c r="N19" s="44"/>
      <c r="O19" s="47"/>
      <c r="P19" s="47"/>
      <c r="Q19" s="47"/>
      <c r="R19" s="47"/>
      <c r="S19" s="47"/>
      <c r="T19" s="47"/>
      <c r="U19" s="47"/>
      <c r="V19" s="47"/>
      <c r="W19" s="109"/>
    </row>
    <row r="20" spans="4:23" s="6" customFormat="1" ht="13.9" customHeight="1" x14ac:dyDescent="0.25">
      <c r="D20" s="260"/>
      <c r="E20" s="260"/>
      <c r="F20" s="568"/>
      <c r="G20" s="568"/>
      <c r="H20" s="568"/>
      <c r="I20" s="568"/>
      <c r="J20" s="568"/>
      <c r="K20" s="568"/>
      <c r="L20" s="568"/>
      <c r="M20" s="568"/>
      <c r="N20" s="568"/>
      <c r="O20" s="568"/>
      <c r="P20" s="568"/>
      <c r="Q20" s="568"/>
      <c r="R20" s="135"/>
      <c r="S20" s="324" t="s">
        <v>98</v>
      </c>
      <c r="T20" s="324"/>
      <c r="U20" s="324" t="s">
        <v>99</v>
      </c>
      <c r="V20" s="324"/>
      <c r="W20" s="324" t="s">
        <v>20</v>
      </c>
    </row>
    <row r="21" spans="4:23" s="6" customFormat="1" ht="15" customHeight="1" x14ac:dyDescent="0.25">
      <c r="D21" s="136">
        <v>1</v>
      </c>
      <c r="E21" s="136"/>
      <c r="F21" s="578" t="s">
        <v>305</v>
      </c>
      <c r="G21" s="578"/>
      <c r="H21" s="578"/>
      <c r="I21" s="578"/>
      <c r="J21" s="578"/>
      <c r="K21" s="578"/>
      <c r="L21" s="578"/>
      <c r="M21" s="578"/>
      <c r="N21" s="578"/>
      <c r="O21" s="578"/>
      <c r="P21" s="578"/>
      <c r="Q21" s="578"/>
      <c r="R21" s="137">
        <v>1</v>
      </c>
      <c r="S21" s="199"/>
      <c r="T21" s="137"/>
      <c r="U21" s="138"/>
      <c r="V21" s="137"/>
      <c r="W21" s="138"/>
    </row>
    <row r="22" spans="4:23" s="6" customFormat="1" ht="48.75" customHeight="1" x14ac:dyDescent="0.25">
      <c r="D22" s="136"/>
      <c r="E22" s="136"/>
      <c r="F22" s="578"/>
      <c r="G22" s="578"/>
      <c r="H22" s="578"/>
      <c r="I22" s="578"/>
      <c r="J22" s="578"/>
      <c r="K22" s="578"/>
      <c r="L22" s="578"/>
      <c r="M22" s="578"/>
      <c r="N22" s="578"/>
      <c r="O22" s="578"/>
      <c r="P22" s="578"/>
      <c r="Q22" s="578"/>
      <c r="R22" s="137"/>
      <c r="S22" s="200"/>
      <c r="T22" s="137"/>
      <c r="U22" s="137"/>
      <c r="V22" s="137"/>
      <c r="W22" s="137"/>
    </row>
    <row r="23" spans="4:23" s="6" customFormat="1" ht="17.45" customHeight="1" x14ac:dyDescent="0.25">
      <c r="D23" s="136">
        <v>2</v>
      </c>
      <c r="E23" s="136"/>
      <c r="F23" s="578" t="s">
        <v>286</v>
      </c>
      <c r="G23" s="578"/>
      <c r="H23" s="578"/>
      <c r="I23" s="578"/>
      <c r="J23" s="578"/>
      <c r="K23" s="578"/>
      <c r="L23" s="578"/>
      <c r="M23" s="578"/>
      <c r="N23" s="578"/>
      <c r="O23" s="578"/>
      <c r="P23" s="578"/>
      <c r="Q23" s="578"/>
      <c r="R23" s="137">
        <v>2</v>
      </c>
      <c r="S23" s="199"/>
      <c r="T23" s="137"/>
      <c r="U23" s="138"/>
      <c r="V23" s="137"/>
      <c r="W23" s="138"/>
    </row>
    <row r="24" spans="4:23" ht="14.25" customHeight="1" x14ac:dyDescent="0.25">
      <c r="D24" s="139"/>
      <c r="E24" s="139"/>
      <c r="F24" s="578"/>
      <c r="G24" s="578"/>
      <c r="H24" s="578"/>
      <c r="I24" s="578"/>
      <c r="J24" s="578"/>
      <c r="K24" s="578"/>
      <c r="L24" s="578"/>
      <c r="M24" s="578"/>
      <c r="N24" s="578"/>
      <c r="O24" s="578"/>
      <c r="P24" s="578"/>
      <c r="Q24" s="578"/>
      <c r="R24" s="140"/>
      <c r="S24" s="201"/>
      <c r="T24" s="140"/>
      <c r="U24" s="140"/>
      <c r="V24" s="140"/>
      <c r="W24" s="140"/>
    </row>
    <row r="25" spans="4:23" ht="6.75" customHeight="1" x14ac:dyDescent="0.25">
      <c r="D25" s="139"/>
      <c r="E25" s="139"/>
      <c r="F25" s="262"/>
      <c r="G25" s="262"/>
      <c r="H25" s="262"/>
      <c r="I25" s="262"/>
      <c r="J25" s="262"/>
      <c r="K25" s="262"/>
      <c r="L25" s="262"/>
      <c r="M25" s="262"/>
      <c r="N25" s="262"/>
      <c r="O25" s="262"/>
      <c r="P25" s="262"/>
      <c r="Q25" s="262"/>
      <c r="R25" s="140"/>
      <c r="S25" s="201"/>
      <c r="T25" s="140"/>
      <c r="U25" s="140"/>
      <c r="V25" s="140"/>
      <c r="W25" s="140"/>
    </row>
    <row r="26" spans="4:23" s="6" customFormat="1" ht="17.25" customHeight="1" x14ac:dyDescent="0.25">
      <c r="D26" s="136">
        <v>3</v>
      </c>
      <c r="E26" s="141" t="s">
        <v>123</v>
      </c>
      <c r="F26" s="567" t="s">
        <v>304</v>
      </c>
      <c r="G26" s="567"/>
      <c r="H26" s="567"/>
      <c r="I26" s="567"/>
      <c r="J26" s="567"/>
      <c r="K26" s="567"/>
      <c r="L26" s="567"/>
      <c r="M26" s="567"/>
      <c r="N26" s="567"/>
      <c r="O26" s="567"/>
      <c r="P26" s="567"/>
      <c r="Q26" s="567"/>
      <c r="R26" s="137" t="s">
        <v>124</v>
      </c>
      <c r="S26" s="199"/>
      <c r="T26" s="137"/>
      <c r="U26" s="138"/>
      <c r="V26" s="137"/>
      <c r="W26" s="138"/>
    </row>
    <row r="27" spans="4:23" ht="28.5" customHeight="1" x14ac:dyDescent="0.25">
      <c r="D27" s="139"/>
      <c r="E27" s="139"/>
      <c r="F27" s="567"/>
      <c r="G27" s="567"/>
      <c r="H27" s="567"/>
      <c r="I27" s="567"/>
      <c r="J27" s="567"/>
      <c r="K27" s="567"/>
      <c r="L27" s="567"/>
      <c r="M27" s="567"/>
      <c r="N27" s="567"/>
      <c r="O27" s="567"/>
      <c r="P27" s="567"/>
      <c r="Q27" s="567"/>
      <c r="R27" s="140"/>
      <c r="S27" s="201"/>
      <c r="T27" s="140"/>
      <c r="U27" s="140"/>
      <c r="V27" s="140"/>
      <c r="W27" s="140"/>
    </row>
    <row r="28" spans="4:23" ht="7.5" customHeight="1" x14ac:dyDescent="0.25">
      <c r="D28"/>
      <c r="E28"/>
      <c r="F28" s="263"/>
      <c r="G28" s="263"/>
      <c r="H28" s="263"/>
      <c r="I28" s="263"/>
      <c r="J28" s="263"/>
      <c r="K28" s="263"/>
      <c r="L28" s="263"/>
      <c r="M28" s="263"/>
      <c r="N28" s="263"/>
      <c r="O28" s="263"/>
      <c r="P28" s="263"/>
      <c r="Q28" s="263"/>
      <c r="R28"/>
      <c r="S28" s="5"/>
      <c r="T28"/>
      <c r="U28"/>
      <c r="V28"/>
      <c r="W28" s="4"/>
    </row>
    <row r="29" spans="4:23" s="6" customFormat="1" ht="17.45" customHeight="1" x14ac:dyDescent="0.25">
      <c r="D29" s="136"/>
      <c r="E29" s="141" t="s">
        <v>125</v>
      </c>
      <c r="F29" s="567" t="s">
        <v>126</v>
      </c>
      <c r="G29" s="567"/>
      <c r="H29" s="567"/>
      <c r="I29" s="567"/>
      <c r="J29" s="567"/>
      <c r="K29" s="567"/>
      <c r="L29" s="567"/>
      <c r="M29" s="567"/>
      <c r="N29" s="567"/>
      <c r="O29" s="567"/>
      <c r="P29" s="567"/>
      <c r="Q29" s="567"/>
      <c r="R29" s="137" t="s">
        <v>127</v>
      </c>
      <c r="S29" s="199"/>
      <c r="T29" s="137"/>
      <c r="U29" s="138"/>
      <c r="V29" s="137"/>
      <c r="W29" s="138"/>
    </row>
    <row r="30" spans="4:23" ht="30.75" customHeight="1" x14ac:dyDescent="0.25">
      <c r="D30" s="139"/>
      <c r="E30" s="139"/>
      <c r="F30" s="567"/>
      <c r="G30" s="567"/>
      <c r="H30" s="567"/>
      <c r="I30" s="567"/>
      <c r="J30" s="567"/>
      <c r="K30" s="567"/>
      <c r="L30" s="567"/>
      <c r="M30" s="567"/>
      <c r="N30" s="567"/>
      <c r="O30" s="567"/>
      <c r="P30" s="567"/>
      <c r="Q30" s="567"/>
      <c r="R30" s="140"/>
      <c r="S30" s="201"/>
      <c r="T30" s="140"/>
      <c r="U30" s="140"/>
      <c r="V30" s="140"/>
      <c r="W30" s="140"/>
    </row>
    <row r="31" spans="4:23" ht="4.9000000000000004" customHeight="1" x14ac:dyDescent="0.25">
      <c r="D31"/>
      <c r="E31"/>
      <c r="F31" s="263"/>
      <c r="G31" s="263"/>
      <c r="H31" s="263"/>
      <c r="I31" s="263"/>
      <c r="J31" s="263"/>
      <c r="K31" s="263"/>
      <c r="L31" s="263"/>
      <c r="M31" s="263"/>
      <c r="N31" s="263"/>
      <c r="O31" s="263"/>
      <c r="P31" s="263"/>
      <c r="Q31" s="263"/>
      <c r="R31"/>
      <c r="S31" s="5"/>
      <c r="T31"/>
      <c r="U31"/>
      <c r="V31"/>
      <c r="W31" s="4"/>
    </row>
    <row r="32" spans="4:23" s="6" customFormat="1" ht="17.45" customHeight="1" x14ac:dyDescent="0.25">
      <c r="D32" s="136">
        <v>4</v>
      </c>
      <c r="E32" s="136"/>
      <c r="F32" s="567" t="s">
        <v>363</v>
      </c>
      <c r="G32" s="567"/>
      <c r="H32" s="567"/>
      <c r="I32" s="567"/>
      <c r="J32" s="567"/>
      <c r="K32" s="567"/>
      <c r="L32" s="567"/>
      <c r="M32" s="567"/>
      <c r="N32" s="567"/>
      <c r="O32" s="567"/>
      <c r="P32" s="567"/>
      <c r="Q32" s="567"/>
      <c r="R32" s="137">
        <v>4</v>
      </c>
      <c r="S32" s="199"/>
      <c r="T32" s="137"/>
      <c r="U32" s="138"/>
      <c r="V32" s="137"/>
      <c r="W32" s="138"/>
    </row>
    <row r="33" spans="4:23" ht="33.75" customHeight="1" x14ac:dyDescent="0.25">
      <c r="D33" s="139"/>
      <c r="E33" s="139"/>
      <c r="F33" s="567"/>
      <c r="G33" s="567"/>
      <c r="H33" s="567"/>
      <c r="I33" s="567"/>
      <c r="J33" s="567"/>
      <c r="K33" s="567"/>
      <c r="L33" s="567"/>
      <c r="M33" s="567"/>
      <c r="N33" s="567"/>
      <c r="O33" s="567"/>
      <c r="P33" s="567"/>
      <c r="Q33" s="567"/>
      <c r="R33" s="140"/>
      <c r="S33" s="201"/>
      <c r="T33" s="140"/>
      <c r="U33" s="140"/>
      <c r="V33" s="140"/>
      <c r="W33" s="140"/>
    </row>
    <row r="34" spans="4:23" s="6" customFormat="1" ht="9" customHeight="1" thickBot="1" x14ac:dyDescent="0.3">
      <c r="D34" s="33"/>
      <c r="E34" s="29"/>
      <c r="F34" s="29"/>
      <c r="G34" s="29"/>
      <c r="H34" s="29"/>
      <c r="I34" s="29"/>
      <c r="J34" s="29"/>
      <c r="K34" s="29"/>
      <c r="L34" s="29"/>
      <c r="M34" s="29"/>
      <c r="N34" s="29"/>
      <c r="O34" s="20"/>
      <c r="P34" s="20"/>
      <c r="Q34" s="17"/>
      <c r="R34" s="17"/>
      <c r="S34" s="17"/>
      <c r="T34" s="17"/>
      <c r="U34" s="17"/>
      <c r="V34" s="17"/>
      <c r="W34" s="28"/>
    </row>
    <row r="35" spans="4:23" ht="20.45" customHeight="1" thickBot="1" x14ac:dyDescent="0.3">
      <c r="D35" s="401" t="s">
        <v>128</v>
      </c>
      <c r="E35" s="558"/>
      <c r="F35" s="558"/>
      <c r="G35" s="403" t="s">
        <v>129</v>
      </c>
      <c r="H35" s="404"/>
      <c r="I35" s="404"/>
      <c r="J35" s="404"/>
      <c r="K35" s="404"/>
      <c r="L35" s="404"/>
      <c r="M35" s="404"/>
      <c r="N35" s="404"/>
      <c r="O35" s="404"/>
      <c r="P35" s="404"/>
      <c r="Q35" s="404"/>
      <c r="R35" s="404"/>
      <c r="S35" s="43"/>
      <c r="T35" s="43"/>
      <c r="U35" s="43"/>
      <c r="V35" s="43"/>
      <c r="W35" s="142"/>
    </row>
    <row r="36" spans="4:23" s="6" customFormat="1" ht="13.9" customHeight="1" x14ac:dyDescent="0.25">
      <c r="D36" s="579"/>
      <c r="E36" s="579"/>
      <c r="F36" s="579"/>
      <c r="G36" s="580"/>
      <c r="H36" s="580"/>
      <c r="I36" s="580"/>
      <c r="J36" s="580"/>
      <c r="K36" s="580"/>
      <c r="L36" s="580"/>
      <c r="M36" s="580"/>
      <c r="N36" s="580"/>
      <c r="O36" s="580"/>
      <c r="P36" s="580"/>
      <c r="Q36" s="580"/>
      <c r="R36" s="135"/>
      <c r="S36" s="324" t="s">
        <v>98</v>
      </c>
      <c r="T36" s="324"/>
      <c r="U36" s="324" t="s">
        <v>99</v>
      </c>
      <c r="V36" s="324"/>
      <c r="W36" s="324" t="s">
        <v>20</v>
      </c>
    </row>
    <row r="37" spans="4:23" s="6" customFormat="1" ht="47.25" customHeight="1" x14ac:dyDescent="0.25">
      <c r="D37" s="141">
        <v>5</v>
      </c>
      <c r="E37" s="136"/>
      <c r="F37" s="522" t="s">
        <v>364</v>
      </c>
      <c r="G37" s="522"/>
      <c r="H37" s="522"/>
      <c r="I37" s="522"/>
      <c r="J37" s="522"/>
      <c r="K37" s="522"/>
      <c r="L37" s="522"/>
      <c r="M37" s="522"/>
      <c r="N37" s="522"/>
      <c r="O37" s="522"/>
      <c r="P37" s="522"/>
      <c r="Q37" s="228"/>
      <c r="R37" s="227">
        <v>5</v>
      </c>
      <c r="S37" s="138"/>
      <c r="T37" s="137"/>
      <c r="U37" s="138"/>
      <c r="V37" s="137"/>
      <c r="W37" s="138"/>
    </row>
    <row r="38" spans="4:23" s="6" customFormat="1" ht="5.25" customHeight="1" x14ac:dyDescent="0.25">
      <c r="D38" s="136"/>
      <c r="E38" s="136"/>
      <c r="F38" s="228"/>
      <c r="G38" s="228"/>
      <c r="H38" s="228"/>
      <c r="I38" s="228"/>
      <c r="J38" s="228"/>
      <c r="K38" s="228"/>
      <c r="L38" s="228"/>
      <c r="M38" s="228"/>
      <c r="N38" s="228"/>
      <c r="O38" s="228"/>
      <c r="P38" s="228"/>
      <c r="Q38" s="228"/>
      <c r="R38" s="137"/>
      <c r="S38" s="137"/>
      <c r="T38" s="137"/>
      <c r="U38" s="137"/>
      <c r="V38" s="137"/>
      <c r="W38" s="137"/>
    </row>
    <row r="39" spans="4:23" s="6" customFormat="1" ht="17.45" customHeight="1" x14ac:dyDescent="0.25">
      <c r="D39" s="136">
        <v>6</v>
      </c>
      <c r="E39" s="136"/>
      <c r="F39" s="522" t="s">
        <v>380</v>
      </c>
      <c r="G39" s="522"/>
      <c r="H39" s="522"/>
      <c r="I39" s="522"/>
      <c r="J39" s="522"/>
      <c r="K39" s="522"/>
      <c r="L39" s="522"/>
      <c r="M39" s="522"/>
      <c r="N39" s="522"/>
      <c r="O39" s="522"/>
      <c r="P39" s="522"/>
      <c r="Q39" s="522"/>
      <c r="R39" s="137">
        <v>6</v>
      </c>
      <c r="S39" s="138"/>
      <c r="T39" s="137"/>
      <c r="U39" s="138"/>
      <c r="V39" s="137"/>
      <c r="W39" s="138"/>
    </row>
    <row r="40" spans="4:23" s="6" customFormat="1" ht="32.25" customHeight="1" x14ac:dyDescent="0.25">
      <c r="D40" s="136"/>
      <c r="E40" s="136"/>
      <c r="F40" s="522"/>
      <c r="G40" s="522"/>
      <c r="H40" s="522"/>
      <c r="I40" s="522"/>
      <c r="J40" s="522"/>
      <c r="K40" s="522"/>
      <c r="L40" s="522"/>
      <c r="M40" s="522"/>
      <c r="N40" s="522"/>
      <c r="O40" s="522"/>
      <c r="P40" s="522"/>
      <c r="Q40" s="522"/>
      <c r="R40" s="137"/>
      <c r="S40" s="137"/>
      <c r="T40" s="137"/>
      <c r="U40" s="137"/>
      <c r="V40" s="137"/>
      <c r="W40" s="137"/>
    </row>
    <row r="41" spans="4:23" s="6" customFormat="1" ht="6" customHeight="1" x14ac:dyDescent="0.25">
      <c r="D41" s="29"/>
      <c r="E41" s="29"/>
      <c r="F41" s="229"/>
      <c r="G41" s="229"/>
      <c r="H41" s="229"/>
      <c r="I41" s="229"/>
      <c r="J41" s="229"/>
      <c r="K41" s="229"/>
      <c r="L41" s="229"/>
      <c r="M41" s="229"/>
      <c r="N41" s="229"/>
      <c r="O41" s="40"/>
      <c r="P41" s="40"/>
      <c r="Q41" s="34"/>
      <c r="R41" s="17"/>
      <c r="S41" s="17"/>
      <c r="T41" s="17"/>
      <c r="U41" s="17"/>
      <c r="V41" s="17"/>
      <c r="W41" s="20"/>
    </row>
    <row r="42" spans="4:23" s="6" customFormat="1" ht="17.45" customHeight="1" x14ac:dyDescent="0.25">
      <c r="D42" s="136">
        <v>7</v>
      </c>
      <c r="E42" s="136"/>
      <c r="F42" s="399" t="s">
        <v>354</v>
      </c>
      <c r="G42" s="399"/>
      <c r="H42" s="399"/>
      <c r="I42" s="399"/>
      <c r="J42" s="399"/>
      <c r="K42" s="399"/>
      <c r="L42" s="399"/>
      <c r="M42" s="399"/>
      <c r="N42" s="399"/>
      <c r="O42" s="399"/>
      <c r="P42" s="399"/>
      <c r="Q42" s="399"/>
      <c r="R42" s="137">
        <v>7</v>
      </c>
      <c r="S42" s="138"/>
      <c r="T42" s="137"/>
      <c r="U42" s="138"/>
      <c r="V42" s="137"/>
      <c r="W42" s="138"/>
    </row>
    <row r="43" spans="4:23" s="6" customFormat="1" ht="46.5" customHeight="1" x14ac:dyDescent="0.25">
      <c r="D43" s="136"/>
      <c r="E43" s="136"/>
      <c r="F43" s="399"/>
      <c r="G43" s="399"/>
      <c r="H43" s="399"/>
      <c r="I43" s="399"/>
      <c r="J43" s="399"/>
      <c r="K43" s="399"/>
      <c r="L43" s="399"/>
      <c r="M43" s="399"/>
      <c r="N43" s="399"/>
      <c r="O43" s="399"/>
      <c r="P43" s="399"/>
      <c r="Q43" s="399"/>
      <c r="R43" s="137"/>
      <c r="S43" s="137"/>
      <c r="T43" s="137"/>
      <c r="U43" s="137"/>
      <c r="V43" s="137"/>
      <c r="W43" s="137"/>
    </row>
    <row r="44" spans="4:23" s="6" customFormat="1" ht="8.25" customHeight="1" x14ac:dyDescent="0.25">
      <c r="D44" s="136"/>
      <c r="E44" s="136"/>
      <c r="F44" s="38"/>
      <c r="G44" s="38"/>
      <c r="H44" s="38"/>
      <c r="I44" s="38"/>
      <c r="J44" s="38"/>
      <c r="K44" s="38"/>
      <c r="L44" s="38"/>
      <c r="M44" s="38"/>
      <c r="N44" s="38"/>
      <c r="O44" s="38"/>
      <c r="P44" s="38"/>
      <c r="Q44" s="38"/>
      <c r="R44" s="137"/>
      <c r="S44" s="137"/>
      <c r="T44" s="137"/>
      <c r="U44" s="137"/>
      <c r="V44" s="137"/>
      <c r="W44" s="137"/>
    </row>
    <row r="45" spans="4:23" s="6" customFormat="1" ht="41.25" customHeight="1" x14ac:dyDescent="0.25">
      <c r="D45" s="141">
        <v>8</v>
      </c>
      <c r="E45" s="136"/>
      <c r="F45" s="522" t="s">
        <v>367</v>
      </c>
      <c r="G45" s="522"/>
      <c r="H45" s="522"/>
      <c r="I45" s="522"/>
      <c r="J45" s="522"/>
      <c r="K45" s="522"/>
      <c r="L45" s="522"/>
      <c r="M45" s="522"/>
      <c r="N45" s="522"/>
      <c r="O45" s="522"/>
      <c r="P45" s="522"/>
      <c r="Q45" s="522"/>
      <c r="R45" s="227">
        <v>8</v>
      </c>
      <c r="S45" s="138"/>
      <c r="T45" s="137"/>
      <c r="U45" s="138"/>
      <c r="V45" s="137"/>
      <c r="W45" s="138"/>
    </row>
    <row r="46" spans="4:23" s="6" customFormat="1" ht="3" customHeight="1" x14ac:dyDescent="0.25">
      <c r="D46" s="136"/>
      <c r="E46" s="136"/>
      <c r="F46" s="522"/>
      <c r="G46" s="522"/>
      <c r="H46" s="522"/>
      <c r="I46" s="522"/>
      <c r="J46" s="522"/>
      <c r="K46" s="522"/>
      <c r="L46" s="522"/>
      <c r="M46" s="522"/>
      <c r="N46" s="522"/>
      <c r="O46" s="522"/>
      <c r="P46" s="522"/>
      <c r="Q46" s="522"/>
      <c r="R46" s="137"/>
      <c r="S46" s="137"/>
      <c r="T46" s="137"/>
      <c r="U46" s="137"/>
      <c r="V46" s="137"/>
      <c r="W46" s="137"/>
    </row>
    <row r="47" spans="4:23" ht="11.45" customHeight="1" thickBot="1" x14ac:dyDescent="0.3">
      <c r="D47" s="581"/>
      <c r="E47" s="581"/>
      <c r="F47" s="581"/>
      <c r="G47" s="581"/>
      <c r="H47" s="581"/>
      <c r="I47" s="581"/>
      <c r="J47" s="581"/>
      <c r="K47" s="581"/>
      <c r="L47" s="581"/>
      <c r="M47" s="581"/>
      <c r="N47" s="581"/>
      <c r="O47" s="581"/>
      <c r="P47" s="581"/>
      <c r="Q47" s="581"/>
      <c r="R47" s="581"/>
      <c r="S47" s="581"/>
      <c r="T47" s="581"/>
      <c r="U47" s="581"/>
      <c r="V47" s="581"/>
      <c r="W47" s="581"/>
    </row>
    <row r="48" spans="4:23" ht="20.45" customHeight="1" thickBot="1" x14ac:dyDescent="0.3">
      <c r="D48" s="401" t="s">
        <v>147</v>
      </c>
      <c r="E48" s="558"/>
      <c r="F48" s="558"/>
      <c r="G48" s="403" t="s">
        <v>148</v>
      </c>
      <c r="H48" s="404"/>
      <c r="I48" s="404"/>
      <c r="J48" s="404"/>
      <c r="K48" s="404"/>
      <c r="L48" s="404"/>
      <c r="M48" s="404"/>
      <c r="N48" s="404"/>
      <c r="O48" s="404"/>
      <c r="P48" s="404"/>
      <c r="Q48" s="404"/>
      <c r="R48" s="404"/>
      <c r="S48" s="404"/>
      <c r="T48" s="404"/>
      <c r="U48" s="404"/>
      <c r="V48" s="404"/>
      <c r="W48" s="405"/>
    </row>
    <row r="49" spans="4:24" s="6" customFormat="1" ht="5.45" customHeight="1" x14ac:dyDescent="0.25">
      <c r="D49" s="44"/>
      <c r="E49" s="44"/>
      <c r="F49" s="44"/>
      <c r="G49" s="44"/>
      <c r="H49" s="44"/>
      <c r="I49" s="44"/>
      <c r="J49" s="44"/>
      <c r="K49" s="44"/>
      <c r="L49" s="44"/>
      <c r="M49" s="44"/>
      <c r="N49" s="44"/>
      <c r="O49" s="47"/>
      <c r="P49" s="47"/>
      <c r="Q49" s="47"/>
      <c r="R49" s="47"/>
      <c r="S49" s="47"/>
      <c r="T49" s="47"/>
      <c r="U49" s="47"/>
      <c r="V49" s="47"/>
      <c r="W49" s="109"/>
      <c r="X49" s="124"/>
    </row>
    <row r="50" spans="4:24" s="6" customFormat="1" ht="11.25" customHeight="1" x14ac:dyDescent="0.25">
      <c r="D50" s="568"/>
      <c r="E50" s="568"/>
      <c r="F50" s="568"/>
      <c r="G50" s="584"/>
      <c r="H50" s="584"/>
      <c r="I50" s="584"/>
      <c r="J50" s="584"/>
      <c r="K50" s="584"/>
      <c r="L50" s="584"/>
      <c r="M50" s="584"/>
      <c r="N50" s="584"/>
      <c r="O50" s="584"/>
      <c r="P50" s="584"/>
      <c r="Q50" s="584"/>
      <c r="R50" s="135"/>
      <c r="S50" s="324" t="s">
        <v>98</v>
      </c>
      <c r="T50" s="324"/>
      <c r="U50" s="324" t="s">
        <v>99</v>
      </c>
      <c r="V50" s="324"/>
      <c r="W50" s="324" t="s">
        <v>20</v>
      </c>
      <c r="X50" s="124"/>
    </row>
    <row r="51" spans="4:24" s="6" customFormat="1" ht="31.5" customHeight="1" x14ac:dyDescent="0.25">
      <c r="D51" s="141">
        <v>9</v>
      </c>
      <c r="E51" s="136"/>
      <c r="F51" s="591" t="s">
        <v>306</v>
      </c>
      <c r="G51" s="591"/>
      <c r="H51" s="591"/>
      <c r="I51" s="591"/>
      <c r="J51" s="591"/>
      <c r="K51" s="591"/>
      <c r="L51" s="591"/>
      <c r="M51" s="591"/>
      <c r="N51" s="591"/>
      <c r="O51" s="591"/>
      <c r="P51" s="591"/>
      <c r="Q51" s="591"/>
      <c r="R51" s="227">
        <v>9</v>
      </c>
      <c r="S51" s="138"/>
      <c r="T51" s="137"/>
      <c r="U51" s="138"/>
      <c r="V51" s="137"/>
      <c r="W51" s="138"/>
    </row>
    <row r="52" spans="4:24" s="6" customFormat="1" ht="45" customHeight="1" x14ac:dyDescent="0.25">
      <c r="D52" s="253"/>
      <c r="E52" s="29"/>
      <c r="F52" s="254"/>
      <c r="G52" s="254"/>
      <c r="H52" s="254"/>
      <c r="I52" s="254"/>
      <c r="J52" s="254"/>
      <c r="K52" s="254"/>
      <c r="L52" s="254"/>
      <c r="M52" s="254"/>
      <c r="N52" s="254"/>
      <c r="O52" s="255"/>
      <c r="P52" s="255"/>
      <c r="Q52" s="256"/>
      <c r="R52" s="17"/>
      <c r="S52" s="17"/>
      <c r="T52" s="17"/>
      <c r="U52" s="17"/>
      <c r="V52" s="17"/>
      <c r="W52" s="20"/>
    </row>
    <row r="53" spans="4:24" s="6" customFormat="1" ht="16.899999999999999" customHeight="1" x14ac:dyDescent="0.25">
      <c r="D53" s="141">
        <v>10</v>
      </c>
      <c r="E53" s="136"/>
      <c r="F53" s="595" t="s">
        <v>307</v>
      </c>
      <c r="G53" s="595"/>
      <c r="H53" s="595"/>
      <c r="I53" s="595"/>
      <c r="J53" s="595"/>
      <c r="K53" s="595"/>
      <c r="L53" s="595"/>
      <c r="M53" s="595"/>
      <c r="N53" s="595"/>
      <c r="O53" s="595"/>
      <c r="P53" s="255"/>
      <c r="Q53" s="256"/>
      <c r="R53" s="227">
        <v>10</v>
      </c>
      <c r="S53" s="138"/>
      <c r="T53" s="137"/>
      <c r="U53" s="138"/>
      <c r="V53" s="137"/>
      <c r="W53" s="138"/>
    </row>
    <row r="54" spans="4:24" s="6" customFormat="1" ht="29.25" customHeight="1" x14ac:dyDescent="0.25">
      <c r="D54" s="141"/>
      <c r="E54" s="136"/>
      <c r="F54" s="595"/>
      <c r="G54" s="595"/>
      <c r="H54" s="595"/>
      <c r="I54" s="595"/>
      <c r="J54" s="595"/>
      <c r="K54" s="595"/>
      <c r="L54" s="595"/>
      <c r="M54" s="595"/>
      <c r="N54" s="595"/>
      <c r="O54" s="595"/>
      <c r="P54" s="255"/>
      <c r="Q54" s="256"/>
      <c r="R54" s="137"/>
      <c r="S54" s="137"/>
      <c r="T54" s="137"/>
      <c r="U54" s="137"/>
      <c r="V54" s="137"/>
      <c r="W54" s="137"/>
    </row>
    <row r="55" spans="4:24" s="6" customFormat="1" ht="4.5" customHeight="1" x14ac:dyDescent="0.25">
      <c r="D55" s="141"/>
      <c r="E55" s="136"/>
      <c r="F55" s="257"/>
      <c r="G55" s="257"/>
      <c r="H55" s="257"/>
      <c r="I55" s="257"/>
      <c r="J55" s="257"/>
      <c r="K55" s="257"/>
      <c r="L55" s="257"/>
      <c r="M55" s="257"/>
      <c r="N55" s="257"/>
      <c r="O55" s="257"/>
      <c r="P55" s="255"/>
      <c r="Q55" s="256"/>
      <c r="R55" s="137"/>
      <c r="S55" s="137"/>
      <c r="T55" s="137"/>
      <c r="U55" s="137"/>
      <c r="V55" s="137"/>
      <c r="W55" s="137"/>
    </row>
    <row r="56" spans="4:24" s="6" customFormat="1" ht="17.45" customHeight="1" x14ac:dyDescent="0.25">
      <c r="D56" s="141">
        <v>11</v>
      </c>
      <c r="E56" s="136"/>
      <c r="F56" s="591" t="s">
        <v>365</v>
      </c>
      <c r="G56" s="591"/>
      <c r="H56" s="591"/>
      <c r="I56" s="591"/>
      <c r="J56" s="591"/>
      <c r="K56" s="591"/>
      <c r="L56" s="591"/>
      <c r="M56" s="591"/>
      <c r="N56" s="591"/>
      <c r="O56" s="591"/>
      <c r="P56" s="591"/>
      <c r="Q56" s="591"/>
      <c r="R56" s="137">
        <v>11</v>
      </c>
      <c r="S56" s="138"/>
      <c r="T56" s="137"/>
      <c r="U56" s="138"/>
      <c r="V56" s="137"/>
      <c r="W56" s="138"/>
    </row>
    <row r="57" spans="4:24" s="6" customFormat="1" ht="30.75" customHeight="1" x14ac:dyDescent="0.25">
      <c r="D57" s="136"/>
      <c r="E57" s="136"/>
      <c r="F57" s="591"/>
      <c r="G57" s="591"/>
      <c r="H57" s="591"/>
      <c r="I57" s="591"/>
      <c r="J57" s="591"/>
      <c r="K57" s="591"/>
      <c r="L57" s="591"/>
      <c r="M57" s="591"/>
      <c r="N57" s="591"/>
      <c r="O57" s="591"/>
      <c r="P57" s="591"/>
      <c r="Q57" s="591"/>
      <c r="R57" s="137"/>
      <c r="S57" s="137"/>
      <c r="T57" s="137"/>
      <c r="U57" s="137"/>
      <c r="V57" s="137"/>
      <c r="W57" s="137"/>
    </row>
    <row r="58" spans="4:24" ht="7.5" customHeight="1" thickBot="1" x14ac:dyDescent="0.3">
      <c r="D58" s="581"/>
      <c r="E58" s="581"/>
      <c r="F58" s="581"/>
      <c r="G58" s="581"/>
      <c r="H58" s="581"/>
      <c r="I58" s="581"/>
      <c r="J58" s="581"/>
      <c r="K58" s="581"/>
      <c r="L58" s="581"/>
      <c r="M58" s="581"/>
      <c r="N58" s="581"/>
      <c r="O58" s="581"/>
      <c r="P58" s="581"/>
      <c r="Q58" s="581"/>
      <c r="R58" s="581"/>
      <c r="S58" s="581"/>
      <c r="T58" s="581"/>
      <c r="U58" s="581"/>
      <c r="V58" s="581"/>
      <c r="W58" s="581"/>
    </row>
    <row r="59" spans="4:24" ht="20.45" customHeight="1" thickBot="1" x14ac:dyDescent="0.3">
      <c r="D59" s="401" t="s">
        <v>149</v>
      </c>
      <c r="E59" s="558"/>
      <c r="F59" s="558"/>
      <c r="G59" s="403" t="s">
        <v>160</v>
      </c>
      <c r="H59" s="404"/>
      <c r="I59" s="404"/>
      <c r="J59" s="404"/>
      <c r="K59" s="404"/>
      <c r="L59" s="404"/>
      <c r="M59" s="404"/>
      <c r="N59" s="404"/>
      <c r="O59" s="404"/>
      <c r="P59" s="404"/>
      <c r="Q59" s="404"/>
      <c r="R59" s="404"/>
      <c r="S59" s="404"/>
      <c r="T59" s="404"/>
      <c r="U59" s="404"/>
      <c r="V59" s="404"/>
      <c r="W59" s="405"/>
    </row>
    <row r="60" spans="4:24" s="6" customFormat="1" ht="5.45" customHeight="1" x14ac:dyDescent="0.25">
      <c r="D60" s="44"/>
      <c r="E60" s="44"/>
      <c r="F60" s="44"/>
      <c r="G60" s="44"/>
      <c r="H60" s="44"/>
      <c r="I60" s="44"/>
      <c r="J60" s="44"/>
      <c r="K60" s="44"/>
      <c r="L60" s="44"/>
      <c r="M60" s="44"/>
      <c r="N60" s="44"/>
      <c r="O60" s="47"/>
      <c r="P60" s="47"/>
      <c r="Q60" s="47"/>
      <c r="R60" s="47"/>
      <c r="S60" s="47"/>
      <c r="T60" s="47"/>
      <c r="U60" s="47"/>
      <c r="V60" s="47"/>
      <c r="W60" s="109"/>
    </row>
    <row r="61" spans="4:24" s="6" customFormat="1" ht="10.5" customHeight="1" x14ac:dyDescent="0.25">
      <c r="D61" s="568"/>
      <c r="E61" s="568"/>
      <c r="F61" s="568"/>
      <c r="G61" s="584"/>
      <c r="H61" s="584"/>
      <c r="I61" s="584"/>
      <c r="J61" s="584"/>
      <c r="K61" s="584"/>
      <c r="L61" s="584"/>
      <c r="M61" s="584"/>
      <c r="N61" s="584"/>
      <c r="O61" s="584"/>
      <c r="P61" s="584"/>
      <c r="Q61" s="584"/>
      <c r="R61" s="135"/>
      <c r="S61" s="324" t="s">
        <v>98</v>
      </c>
      <c r="T61" s="324"/>
      <c r="U61" s="324" t="s">
        <v>99</v>
      </c>
      <c r="V61" s="324"/>
      <c r="W61" s="324" t="s">
        <v>20</v>
      </c>
      <c r="X61" s="124"/>
    </row>
    <row r="62" spans="4:24" s="6" customFormat="1" ht="59.45" customHeight="1" x14ac:dyDescent="0.25">
      <c r="D62" s="141">
        <v>12</v>
      </c>
      <c r="E62" s="136"/>
      <c r="F62" s="591" t="s">
        <v>381</v>
      </c>
      <c r="G62" s="591"/>
      <c r="H62" s="591"/>
      <c r="I62" s="591"/>
      <c r="J62" s="591"/>
      <c r="K62" s="591"/>
      <c r="L62" s="591"/>
      <c r="M62" s="591"/>
      <c r="N62" s="591"/>
      <c r="O62" s="591"/>
      <c r="P62" s="591"/>
      <c r="Q62" s="591"/>
      <c r="R62" s="227">
        <v>12</v>
      </c>
      <c r="S62" s="138"/>
      <c r="T62" s="137"/>
      <c r="U62" s="138"/>
      <c r="V62" s="137"/>
      <c r="W62" s="138"/>
    </row>
    <row r="63" spans="4:24" s="6" customFormat="1" ht="6" customHeight="1" x14ac:dyDescent="0.25">
      <c r="D63" s="29"/>
      <c r="E63" s="29"/>
      <c r="F63" s="254"/>
      <c r="G63" s="254"/>
      <c r="H63" s="254"/>
      <c r="I63" s="254"/>
      <c r="J63" s="254"/>
      <c r="K63" s="254"/>
      <c r="L63" s="254"/>
      <c r="M63" s="254"/>
      <c r="N63" s="254"/>
      <c r="O63" s="255"/>
      <c r="P63" s="255"/>
      <c r="Q63" s="256"/>
      <c r="R63" s="17"/>
      <c r="S63" s="17"/>
      <c r="T63" s="17"/>
      <c r="U63" s="17"/>
      <c r="V63" s="17"/>
      <c r="W63" s="20"/>
    </row>
    <row r="64" spans="4:24" s="6" customFormat="1" ht="17.45" customHeight="1" x14ac:dyDescent="0.25">
      <c r="D64" s="136">
        <v>13</v>
      </c>
      <c r="E64" s="136"/>
      <c r="F64" s="595" t="s">
        <v>331</v>
      </c>
      <c r="G64" s="595"/>
      <c r="H64" s="595"/>
      <c r="I64" s="595"/>
      <c r="J64" s="595"/>
      <c r="K64" s="595"/>
      <c r="L64" s="595"/>
      <c r="M64" s="595"/>
      <c r="N64" s="595"/>
      <c r="O64" s="595"/>
      <c r="P64" s="255"/>
      <c r="Q64" s="256"/>
      <c r="R64" s="137">
        <v>13</v>
      </c>
      <c r="S64" s="138"/>
      <c r="T64" s="137"/>
      <c r="U64" s="138"/>
      <c r="V64" s="137"/>
      <c r="W64" s="138"/>
    </row>
    <row r="65" spans="4:23" s="6" customFormat="1" ht="15" customHeight="1" x14ac:dyDescent="0.25">
      <c r="D65" s="136"/>
      <c r="E65" s="136"/>
      <c r="F65" s="595"/>
      <c r="G65" s="595"/>
      <c r="H65" s="595"/>
      <c r="I65" s="595"/>
      <c r="J65" s="595"/>
      <c r="K65" s="595"/>
      <c r="L65" s="595"/>
      <c r="M65" s="595"/>
      <c r="N65" s="595"/>
      <c r="O65" s="595"/>
      <c r="P65" s="255"/>
      <c r="Q65" s="256"/>
      <c r="R65" s="137"/>
      <c r="S65" s="137"/>
      <c r="T65" s="137"/>
      <c r="U65" s="137"/>
      <c r="V65" s="137"/>
      <c r="W65" s="137"/>
    </row>
    <row r="66" spans="4:23" s="6" customFormat="1" ht="5.45" customHeight="1" thickBot="1" x14ac:dyDescent="0.3">
      <c r="D66" s="44"/>
      <c r="E66" s="44"/>
      <c r="F66" s="44"/>
      <c r="G66" s="44"/>
      <c r="H66" s="44"/>
      <c r="I66" s="44"/>
      <c r="J66" s="44"/>
      <c r="K66" s="44"/>
      <c r="L66" s="44"/>
      <c r="M66" s="44"/>
      <c r="N66" s="44"/>
      <c r="O66" s="47"/>
      <c r="P66" s="47"/>
      <c r="Q66" s="47"/>
      <c r="R66" s="47"/>
      <c r="S66" s="47"/>
      <c r="T66" s="47"/>
      <c r="U66" s="47"/>
      <c r="V66" s="47"/>
      <c r="W66" s="109"/>
    </row>
    <row r="67" spans="4:23" ht="20.45" customHeight="1" x14ac:dyDescent="0.25">
      <c r="D67" s="585" t="s">
        <v>299</v>
      </c>
      <c r="E67" s="586"/>
      <c r="F67" s="587"/>
      <c r="G67" s="580" t="s">
        <v>298</v>
      </c>
      <c r="H67" s="580"/>
      <c r="I67" s="580"/>
      <c r="J67" s="580"/>
      <c r="K67" s="580"/>
      <c r="L67" s="580"/>
      <c r="M67" s="580"/>
      <c r="N67" s="580"/>
      <c r="O67" s="580"/>
      <c r="P67" s="580"/>
      <c r="Q67" s="580"/>
      <c r="R67" s="580"/>
      <c r="S67" s="580"/>
      <c r="T67" s="580"/>
      <c r="U67" s="580"/>
      <c r="V67" s="580"/>
      <c r="W67" s="580"/>
    </row>
    <row r="68" spans="4:23" ht="20.45" customHeight="1" thickBot="1" x14ac:dyDescent="0.3">
      <c r="D68" s="588"/>
      <c r="E68" s="589"/>
      <c r="F68" s="590"/>
      <c r="G68" s="563" t="s">
        <v>386</v>
      </c>
      <c r="H68" s="564"/>
      <c r="I68" s="564"/>
      <c r="J68" s="564"/>
      <c r="K68" s="564"/>
      <c r="L68" s="564"/>
      <c r="M68" s="564"/>
      <c r="N68" s="564"/>
      <c r="O68" s="564"/>
      <c r="P68" s="564"/>
      <c r="Q68" s="564"/>
      <c r="R68" s="564"/>
      <c r="S68" s="564"/>
      <c r="T68" s="564"/>
      <c r="U68" s="564"/>
      <c r="V68" s="564"/>
      <c r="W68" s="564"/>
    </row>
    <row r="69" spans="4:23" s="6" customFormat="1" ht="6.6" customHeight="1" x14ac:dyDescent="0.25">
      <c r="D69" s="44"/>
      <c r="E69" s="44"/>
      <c r="F69" s="306"/>
      <c r="G69" s="44"/>
      <c r="H69" s="44"/>
      <c r="I69" s="44"/>
      <c r="J69" s="44"/>
      <c r="K69" s="44"/>
      <c r="L69" s="44"/>
      <c r="M69" s="44"/>
      <c r="N69" s="44"/>
      <c r="O69" s="47"/>
      <c r="P69" s="47"/>
      <c r="Q69" s="47"/>
      <c r="R69" s="47"/>
      <c r="S69" s="47"/>
      <c r="T69" s="47"/>
      <c r="U69" s="47"/>
      <c r="V69" s="47"/>
      <c r="W69" s="109"/>
    </row>
    <row r="70" spans="4:23" ht="10.5" customHeight="1" x14ac:dyDescent="0.25">
      <c r="D70" s="582" t="s">
        <v>150</v>
      </c>
      <c r="E70" s="582"/>
      <c r="F70" s="583"/>
      <c r="G70" s="165"/>
      <c r="H70" s="165"/>
      <c r="I70" s="166"/>
      <c r="J70" s="166"/>
      <c r="K70" s="166"/>
      <c r="L70" s="166"/>
      <c r="M70" s="166"/>
      <c r="N70" s="166"/>
      <c r="O70" s="166"/>
      <c r="P70" s="166"/>
      <c r="Q70" s="166"/>
      <c r="R70" s="167"/>
      <c r="S70" s="167"/>
      <c r="T70" s="167"/>
      <c r="U70" s="167"/>
      <c r="V70" s="167"/>
      <c r="W70" s="168"/>
    </row>
    <row r="71" spans="4:23" ht="27.95" customHeight="1" x14ac:dyDescent="0.25">
      <c r="D71" s="552"/>
      <c r="E71" s="553"/>
      <c r="F71" s="554"/>
      <c r="G71" s="541"/>
      <c r="H71" s="542"/>
      <c r="I71" s="542"/>
      <c r="J71" s="542"/>
      <c r="K71" s="542"/>
      <c r="L71" s="542"/>
      <c r="M71" s="542"/>
      <c r="N71" s="542"/>
      <c r="O71" s="542"/>
      <c r="P71" s="542"/>
      <c r="Q71" s="542"/>
      <c r="R71" s="542"/>
      <c r="S71" s="542"/>
      <c r="T71" s="542"/>
      <c r="U71" s="542"/>
      <c r="V71" s="542"/>
      <c r="W71" s="542"/>
    </row>
    <row r="72" spans="4:23" ht="27.95" customHeight="1" x14ac:dyDescent="0.25">
      <c r="D72" s="552"/>
      <c r="E72" s="553"/>
      <c r="F72" s="554"/>
      <c r="G72" s="541"/>
      <c r="H72" s="542"/>
      <c r="I72" s="542"/>
      <c r="J72" s="542"/>
      <c r="K72" s="542"/>
      <c r="L72" s="542"/>
      <c r="M72" s="542"/>
      <c r="N72" s="542"/>
      <c r="O72" s="542"/>
      <c r="P72" s="542"/>
      <c r="Q72" s="542"/>
      <c r="R72" s="542"/>
      <c r="S72" s="542"/>
      <c r="T72" s="542"/>
      <c r="U72" s="542"/>
      <c r="V72" s="542"/>
      <c r="W72" s="542"/>
    </row>
    <row r="73" spans="4:23" ht="27.95" customHeight="1" x14ac:dyDescent="0.25">
      <c r="D73" s="552"/>
      <c r="E73" s="553"/>
      <c r="F73" s="554"/>
      <c r="G73" s="541"/>
      <c r="H73" s="542"/>
      <c r="I73" s="542"/>
      <c r="J73" s="542"/>
      <c r="K73" s="542"/>
      <c r="L73" s="542"/>
      <c r="M73" s="542"/>
      <c r="N73" s="542"/>
      <c r="O73" s="542"/>
      <c r="P73" s="542"/>
      <c r="Q73" s="542"/>
      <c r="R73" s="542"/>
      <c r="S73" s="542"/>
      <c r="T73" s="542"/>
      <c r="U73" s="542"/>
      <c r="V73" s="542"/>
      <c r="W73" s="542"/>
    </row>
    <row r="74" spans="4:23" ht="27.95" customHeight="1" x14ac:dyDescent="0.25">
      <c r="D74" s="552"/>
      <c r="E74" s="553"/>
      <c r="F74" s="554"/>
      <c r="G74" s="541"/>
      <c r="H74" s="542"/>
      <c r="I74" s="542"/>
      <c r="J74" s="542"/>
      <c r="K74" s="542"/>
      <c r="L74" s="542"/>
      <c r="M74" s="542"/>
      <c r="N74" s="542"/>
      <c r="O74" s="542"/>
      <c r="P74" s="542"/>
      <c r="Q74" s="542"/>
      <c r="R74" s="542"/>
      <c r="S74" s="542"/>
      <c r="T74" s="542"/>
      <c r="U74" s="542"/>
      <c r="V74" s="542"/>
      <c r="W74" s="542"/>
    </row>
    <row r="75" spans="4:23" ht="27.95" customHeight="1" x14ac:dyDescent="0.25">
      <c r="D75" s="552"/>
      <c r="E75" s="553"/>
      <c r="F75" s="554"/>
      <c r="G75" s="541"/>
      <c r="H75" s="542"/>
      <c r="I75" s="542"/>
      <c r="J75" s="542"/>
      <c r="K75" s="542"/>
      <c r="L75" s="542"/>
      <c r="M75" s="542"/>
      <c r="N75" s="542"/>
      <c r="O75" s="542"/>
      <c r="P75" s="542"/>
      <c r="Q75" s="542"/>
      <c r="R75" s="542"/>
      <c r="S75" s="542"/>
      <c r="T75" s="542"/>
      <c r="U75" s="542"/>
      <c r="V75" s="542"/>
      <c r="W75" s="542"/>
    </row>
    <row r="76" spans="4:23" ht="27.95" customHeight="1" x14ac:dyDescent="0.25">
      <c r="D76" s="552"/>
      <c r="E76" s="553"/>
      <c r="F76" s="554"/>
      <c r="G76" s="541"/>
      <c r="H76" s="542"/>
      <c r="I76" s="542"/>
      <c r="J76" s="542"/>
      <c r="K76" s="542"/>
      <c r="L76" s="542"/>
      <c r="M76" s="542"/>
      <c r="N76" s="542"/>
      <c r="O76" s="542"/>
      <c r="P76" s="542"/>
      <c r="Q76" s="542"/>
      <c r="R76" s="542"/>
      <c r="S76" s="542"/>
      <c r="T76" s="542"/>
      <c r="U76" s="542"/>
      <c r="V76" s="542"/>
      <c r="W76" s="542"/>
    </row>
    <row r="77" spans="4:23" ht="27.95" customHeight="1" x14ac:dyDescent="0.25">
      <c r="D77" s="552"/>
      <c r="E77" s="553"/>
      <c r="F77" s="554"/>
      <c r="G77" s="541"/>
      <c r="H77" s="542"/>
      <c r="I77" s="542"/>
      <c r="J77" s="542"/>
      <c r="K77" s="542"/>
      <c r="L77" s="542"/>
      <c r="M77" s="542"/>
      <c r="N77" s="542"/>
      <c r="O77" s="542"/>
      <c r="P77" s="542"/>
      <c r="Q77" s="542"/>
      <c r="R77" s="542"/>
      <c r="S77" s="542"/>
      <c r="T77" s="542"/>
      <c r="U77" s="542"/>
      <c r="V77" s="542"/>
      <c r="W77" s="542"/>
    </row>
    <row r="78" spans="4:23" ht="27.95" customHeight="1" x14ac:dyDescent="0.25">
      <c r="D78" s="552"/>
      <c r="E78" s="553"/>
      <c r="F78" s="554"/>
      <c r="G78" s="541"/>
      <c r="H78" s="542"/>
      <c r="I78" s="542"/>
      <c r="J78" s="542"/>
      <c r="K78" s="542"/>
      <c r="L78" s="542"/>
      <c r="M78" s="542"/>
      <c r="N78" s="542"/>
      <c r="O78" s="542"/>
      <c r="P78" s="542"/>
      <c r="Q78" s="542"/>
      <c r="R78" s="542"/>
      <c r="S78" s="542"/>
      <c r="T78" s="542"/>
      <c r="U78" s="542"/>
      <c r="V78" s="542"/>
      <c r="W78" s="542"/>
    </row>
    <row r="79" spans="4:23" ht="27.95" customHeight="1" thickBot="1" x14ac:dyDescent="0.3">
      <c r="D79" s="555"/>
      <c r="E79" s="556"/>
      <c r="F79" s="557"/>
      <c r="G79" s="543"/>
      <c r="H79" s="544"/>
      <c r="I79" s="544"/>
      <c r="J79" s="544"/>
      <c r="K79" s="544"/>
      <c r="L79" s="544"/>
      <c r="M79" s="544"/>
      <c r="N79" s="544"/>
      <c r="O79" s="544"/>
      <c r="P79" s="544"/>
      <c r="Q79" s="544"/>
      <c r="R79" s="544"/>
      <c r="S79" s="544"/>
      <c r="T79" s="544"/>
      <c r="U79" s="544"/>
      <c r="V79" s="544"/>
      <c r="W79" s="544"/>
    </row>
    <row r="80" spans="4:23" ht="6" customHeight="1" thickBot="1" x14ac:dyDescent="0.3">
      <c r="D80" s="165"/>
      <c r="E80" s="165"/>
      <c r="F80" s="165"/>
      <c r="G80" s="165"/>
      <c r="H80" s="165"/>
      <c r="I80" s="166"/>
      <c r="J80" s="166"/>
      <c r="K80" s="166"/>
      <c r="L80" s="166"/>
      <c r="M80" s="166"/>
      <c r="N80" s="166"/>
      <c r="O80" s="166"/>
      <c r="P80" s="166"/>
      <c r="Q80" s="166"/>
      <c r="R80" s="167"/>
      <c r="S80" s="167"/>
      <c r="T80" s="167"/>
      <c r="U80" s="167"/>
      <c r="V80" s="167"/>
      <c r="W80" s="168"/>
    </row>
    <row r="81" spans="2:23" ht="59.45" customHeight="1" thickTop="1" x14ac:dyDescent="0.25">
      <c r="B81" s="386" t="s">
        <v>414</v>
      </c>
      <c r="D81" s="592" t="s">
        <v>366</v>
      </c>
      <c r="E81" s="592"/>
      <c r="F81" s="592"/>
      <c r="G81" s="592"/>
      <c r="H81" s="592"/>
      <c r="I81" s="592"/>
      <c r="J81" s="592"/>
      <c r="K81" s="592"/>
      <c r="L81" s="592"/>
      <c r="M81" s="592"/>
      <c r="N81" s="592"/>
      <c r="O81" s="592"/>
      <c r="P81" s="592"/>
      <c r="Q81" s="592"/>
      <c r="R81" s="592"/>
      <c r="S81" s="592"/>
      <c r="T81" s="592"/>
      <c r="U81" s="592"/>
      <c r="V81" s="592"/>
      <c r="W81" s="592"/>
    </row>
    <row r="82" spans="2:23" ht="6" customHeight="1" x14ac:dyDescent="0.25">
      <c r="B82" s="387"/>
      <c r="D82"/>
      <c r="E82"/>
      <c r="F82"/>
      <c r="G82"/>
      <c r="H82"/>
      <c r="I82"/>
      <c r="J82"/>
      <c r="K82"/>
      <c r="L82"/>
      <c r="M82"/>
      <c r="N82"/>
      <c r="O82"/>
      <c r="P82"/>
      <c r="Q82"/>
      <c r="R82"/>
      <c r="S82"/>
      <c r="T82"/>
      <c r="U82"/>
      <c r="V82"/>
      <c r="W82" s="4"/>
    </row>
    <row r="83" spans="2:23" ht="20.25" customHeight="1" x14ac:dyDescent="0.25">
      <c r="B83" s="387"/>
      <c r="D83" s="546" t="s">
        <v>151</v>
      </c>
      <c r="E83" s="546"/>
      <c r="F83" s="546"/>
      <c r="G83" s="546"/>
      <c r="H83" s="547"/>
      <c r="I83" s="548"/>
      <c r="J83" s="548"/>
      <c r="K83" s="548"/>
      <c r="L83" s="261" t="s">
        <v>262</v>
      </c>
      <c r="M83" s="548"/>
      <c r="N83" s="548"/>
      <c r="O83" s="549"/>
      <c r="P83" s="51"/>
      <c r="Q83" s="51"/>
      <c r="R83" s="169" t="s">
        <v>51</v>
      </c>
      <c r="S83" s="547"/>
      <c r="T83" s="548"/>
      <c r="U83" s="548"/>
      <c r="V83" s="548"/>
      <c r="W83" s="549"/>
    </row>
    <row r="84" spans="2:23" ht="7.9" customHeight="1" x14ac:dyDescent="0.25">
      <c r="B84" s="387"/>
      <c r="D84" s="51"/>
      <c r="E84" s="51"/>
      <c r="F84" s="51"/>
      <c r="G84" s="51"/>
      <c r="H84" s="51"/>
      <c r="I84" s="51"/>
      <c r="J84" s="51"/>
      <c r="K84" s="51"/>
      <c r="L84" s="51"/>
      <c r="M84" s="51"/>
      <c r="N84" s="51"/>
      <c r="O84" s="51"/>
      <c r="P84" s="51"/>
      <c r="Q84" s="51"/>
      <c r="R84" s="51"/>
      <c r="S84" s="51"/>
      <c r="T84" s="51"/>
      <c r="U84" s="51"/>
      <c r="V84" s="51"/>
      <c r="W84" s="116"/>
    </row>
    <row r="85" spans="2:23" ht="7.9" customHeight="1" x14ac:dyDescent="0.25">
      <c r="B85" s="387"/>
      <c r="D85" s="51"/>
      <c r="E85" s="51"/>
      <c r="F85" s="51"/>
      <c r="G85" s="51"/>
      <c r="H85" s="51"/>
      <c r="I85" s="51"/>
      <c r="J85" s="51"/>
      <c r="K85" s="51"/>
      <c r="L85" s="51"/>
      <c r="M85" s="51"/>
      <c r="N85" s="51"/>
      <c r="O85" s="51"/>
      <c r="P85" s="51"/>
      <c r="Q85" s="51"/>
      <c r="R85" s="51"/>
      <c r="S85" s="51"/>
      <c r="T85" s="51"/>
      <c r="U85" s="51"/>
      <c r="V85" s="51"/>
      <c r="W85" s="116"/>
    </row>
    <row r="86" spans="2:23" ht="6" customHeight="1" x14ac:dyDescent="0.25">
      <c r="B86" s="387"/>
      <c r="D86" s="594"/>
      <c r="E86" s="594"/>
      <c r="F86" s="594"/>
      <c r="G86" s="594"/>
      <c r="H86" s="594"/>
      <c r="I86" s="594"/>
      <c r="J86" s="594"/>
      <c r="K86" s="594"/>
      <c r="L86" s="594"/>
      <c r="M86" s="594"/>
      <c r="N86" s="594"/>
      <c r="O86" s="594"/>
      <c r="P86" s="594"/>
      <c r="Q86" s="594"/>
      <c r="R86" s="594"/>
      <c r="S86" s="594"/>
      <c r="T86" s="594"/>
      <c r="U86" s="594"/>
      <c r="V86" s="594"/>
      <c r="W86" s="594"/>
    </row>
    <row r="87" spans="2:23" ht="7.15" customHeight="1" x14ac:dyDescent="0.25">
      <c r="B87" s="387"/>
      <c r="D87" s="170"/>
      <c r="E87" s="170"/>
      <c r="F87" s="170"/>
      <c r="G87" s="170"/>
      <c r="H87" s="170"/>
      <c r="I87" s="170"/>
      <c r="J87" s="170"/>
      <c r="K87" s="170"/>
      <c r="L87" s="170"/>
      <c r="M87" s="170"/>
      <c r="N87" s="170"/>
      <c r="O87" s="170"/>
      <c r="P87" s="170"/>
      <c r="Q87" s="170"/>
      <c r="R87" s="170"/>
      <c r="S87" s="170"/>
      <c r="T87" s="170"/>
      <c r="U87" s="170"/>
      <c r="V87" s="170"/>
      <c r="W87" s="116"/>
    </row>
    <row r="88" spans="2:23" x14ac:dyDescent="0.25">
      <c r="B88" s="387"/>
      <c r="D88" s="596" t="s">
        <v>153</v>
      </c>
      <c r="E88" s="596"/>
      <c r="F88" s="596"/>
      <c r="G88" s="596"/>
      <c r="H88" s="597"/>
      <c r="I88" s="598"/>
      <c r="J88" s="599"/>
      <c r="K88" s="172"/>
      <c r="L88" s="172"/>
      <c r="M88" s="172"/>
      <c r="N88" s="172"/>
      <c r="O88" s="51"/>
      <c r="P88" s="51"/>
      <c r="Q88" s="51"/>
      <c r="R88" s="51"/>
      <c r="S88" s="51"/>
      <c r="T88" s="51"/>
      <c r="U88" s="51"/>
      <c r="V88" s="51"/>
      <c r="W88" s="116"/>
    </row>
    <row r="89" spans="2:23" ht="4.9000000000000004" customHeight="1" thickBot="1" x14ac:dyDescent="0.3">
      <c r="B89" s="388"/>
      <c r="D89" s="51"/>
      <c r="E89" s="51"/>
      <c r="F89" s="171"/>
      <c r="G89" s="172"/>
      <c r="H89" s="172"/>
      <c r="I89" s="172"/>
      <c r="J89" s="172"/>
      <c r="K89" s="172"/>
      <c r="L89" s="172"/>
      <c r="M89" s="172"/>
      <c r="N89" s="172"/>
      <c r="O89" s="116"/>
      <c r="P89" s="116"/>
      <c r="Q89" s="51"/>
      <c r="R89" s="51"/>
      <c r="S89" s="51"/>
      <c r="T89" s="51"/>
      <c r="U89" s="51"/>
      <c r="V89" s="51"/>
      <c r="W89" s="116"/>
    </row>
    <row r="90" spans="2:23" ht="16.149999999999999" customHeight="1" thickTop="1" x14ac:dyDescent="0.25">
      <c r="D90" s="51"/>
      <c r="E90" s="51"/>
      <c r="F90" s="171"/>
      <c r="G90" s="171" t="s">
        <v>154</v>
      </c>
      <c r="H90" s="173"/>
      <c r="I90" s="172"/>
      <c r="J90" s="172"/>
      <c r="K90" s="172"/>
      <c r="L90" s="172"/>
      <c r="M90" s="172"/>
      <c r="N90" s="172"/>
      <c r="O90" s="51"/>
      <c r="P90" s="51"/>
      <c r="Q90" s="51"/>
      <c r="R90" s="51"/>
      <c r="S90" s="51"/>
      <c r="T90" s="51"/>
      <c r="U90" s="51"/>
      <c r="V90" s="51"/>
      <c r="W90" s="116"/>
    </row>
    <row r="91" spans="2:23" ht="8.4499999999999993" customHeight="1" x14ac:dyDescent="0.25">
      <c r="D91" s="51"/>
      <c r="E91" s="51"/>
      <c r="F91" s="51"/>
      <c r="G91" s="51"/>
      <c r="H91" s="51"/>
      <c r="I91" s="51"/>
      <c r="J91" s="51"/>
      <c r="K91" s="51"/>
      <c r="L91" s="51"/>
      <c r="M91" s="51"/>
      <c r="N91" s="51"/>
      <c r="O91" s="51"/>
      <c r="P91" s="51"/>
      <c r="Q91" s="51"/>
      <c r="R91" s="51"/>
      <c r="S91" s="51"/>
      <c r="T91" s="51"/>
      <c r="U91" s="51"/>
      <c r="V91" s="51"/>
      <c r="W91" s="116"/>
    </row>
    <row r="92" spans="2:23" ht="55.5" customHeight="1" x14ac:dyDescent="0.25">
      <c r="D92" s="51"/>
      <c r="E92" s="600" t="s">
        <v>155</v>
      </c>
      <c r="F92" s="600"/>
      <c r="G92" s="600"/>
      <c r="H92" s="600"/>
      <c r="I92" s="600"/>
      <c r="J92" s="600"/>
      <c r="K92" s="600"/>
      <c r="L92" s="600"/>
      <c r="M92" s="600"/>
      <c r="N92" s="600"/>
      <c r="O92" s="600"/>
      <c r="P92" s="600"/>
      <c r="Q92" s="600"/>
      <c r="R92" s="600"/>
      <c r="S92" s="600"/>
      <c r="T92" s="600"/>
      <c r="U92" s="600"/>
      <c r="V92" s="51"/>
      <c r="W92" s="116"/>
    </row>
    <row r="93" spans="2:23" ht="3" customHeight="1" x14ac:dyDescent="0.25">
      <c r="D93" s="51"/>
      <c r="E93" s="51"/>
      <c r="F93" s="51"/>
      <c r="G93" s="51"/>
      <c r="H93" s="51"/>
      <c r="I93" s="51"/>
      <c r="J93" s="51"/>
      <c r="K93" s="51"/>
      <c r="L93" s="51"/>
      <c r="M93" s="51"/>
      <c r="N93" s="51"/>
      <c r="O93" s="51"/>
      <c r="P93" s="51"/>
      <c r="Q93" s="51"/>
      <c r="R93" s="51"/>
      <c r="S93" s="51"/>
      <c r="T93" s="51"/>
      <c r="U93" s="51"/>
      <c r="V93" s="51"/>
      <c r="W93" s="116"/>
    </row>
    <row r="94" spans="2:23" x14ac:dyDescent="0.25">
      <c r="D94" s="51"/>
      <c r="E94" s="51"/>
      <c r="F94" s="52"/>
      <c r="G94" s="52"/>
      <c r="H94" s="52"/>
      <c r="I94" s="52"/>
      <c r="J94" s="52"/>
      <c r="K94" s="52"/>
      <c r="L94" s="52"/>
      <c r="M94" s="52"/>
      <c r="N94" s="52"/>
      <c r="O94" s="52"/>
      <c r="P94" s="52"/>
      <c r="Q94" s="51"/>
      <c r="R94" s="51"/>
      <c r="S94" s="51"/>
      <c r="T94" s="51"/>
      <c r="U94" s="51"/>
      <c r="V94" s="51"/>
      <c r="W94" s="116"/>
    </row>
    <row r="95" spans="2:23" x14ac:dyDescent="0.25">
      <c r="D95" s="51"/>
      <c r="E95" s="51"/>
      <c r="F95" s="551" t="s">
        <v>156</v>
      </c>
      <c r="G95" s="551"/>
      <c r="H95" s="551"/>
      <c r="I95" s="551"/>
      <c r="J95" s="52"/>
      <c r="K95" s="545" t="s">
        <v>157</v>
      </c>
      <c r="L95" s="545"/>
      <c r="M95" s="363"/>
      <c r="N95" s="363"/>
      <c r="O95" s="363"/>
      <c r="P95" s="363"/>
      <c r="Q95" s="363"/>
      <c r="R95" s="363"/>
      <c r="S95" s="51"/>
      <c r="T95" s="51"/>
      <c r="U95" s="51"/>
      <c r="V95" s="51"/>
      <c r="W95" s="116"/>
    </row>
    <row r="96" spans="2:23" ht="6" customHeight="1" x14ac:dyDescent="0.25">
      <c r="D96" s="51"/>
      <c r="E96" s="51"/>
      <c r="F96" s="551"/>
      <c r="G96" s="551"/>
      <c r="H96" s="551"/>
      <c r="I96" s="551"/>
      <c r="J96" s="52"/>
      <c r="K96" s="52"/>
      <c r="L96" s="52"/>
      <c r="M96" s="52"/>
      <c r="N96" s="52"/>
      <c r="O96" s="52"/>
      <c r="P96" s="52"/>
      <c r="Q96" s="51"/>
      <c r="R96" s="51"/>
      <c r="S96" s="51"/>
      <c r="T96" s="51"/>
      <c r="U96" s="51"/>
      <c r="V96" s="51"/>
      <c r="W96" s="116"/>
    </row>
    <row r="97" spans="4:23" x14ac:dyDescent="0.25">
      <c r="D97" s="51"/>
      <c r="E97" s="51"/>
      <c r="F97" s="551"/>
      <c r="G97" s="551"/>
      <c r="H97" s="551"/>
      <c r="I97" s="551"/>
      <c r="J97" s="545" t="s">
        <v>191</v>
      </c>
      <c r="K97" s="545"/>
      <c r="L97" s="545"/>
      <c r="M97" s="550"/>
      <c r="N97" s="550"/>
      <c r="O97" s="52"/>
      <c r="P97" s="52"/>
      <c r="Q97" s="51"/>
      <c r="R97" s="51"/>
      <c r="S97" s="51"/>
      <c r="T97" s="51"/>
      <c r="U97" s="51"/>
      <c r="V97" s="51"/>
      <c r="W97" s="116"/>
    </row>
    <row r="98" spans="4:23" x14ac:dyDescent="0.25">
      <c r="D98" s="51"/>
      <c r="E98" s="51"/>
      <c r="F98" s="551"/>
      <c r="G98" s="551"/>
      <c r="H98" s="551"/>
      <c r="I98" s="551"/>
      <c r="J98" s="212"/>
      <c r="K98" s="212"/>
      <c r="L98" s="117"/>
      <c r="M98" s="117"/>
      <c r="N98" s="52"/>
      <c r="O98" s="52"/>
      <c r="P98" s="52"/>
      <c r="Q98" s="51"/>
      <c r="R98" s="51"/>
      <c r="S98" s="51"/>
      <c r="T98" s="51"/>
      <c r="U98" s="51"/>
      <c r="V98" s="51"/>
      <c r="W98" s="116"/>
    </row>
    <row r="99" spans="4:23" x14ac:dyDescent="0.25">
      <c r="D99" s="51"/>
      <c r="E99" s="51"/>
      <c r="F99" s="212"/>
      <c r="G99" s="212"/>
      <c r="H99" s="212"/>
      <c r="I99" s="212"/>
      <c r="J99" s="212"/>
      <c r="K99" s="212"/>
      <c r="L99" s="117"/>
      <c r="M99" s="117"/>
      <c r="N99" s="52"/>
      <c r="O99" s="52"/>
      <c r="P99" s="52"/>
      <c r="Q99" s="51"/>
      <c r="R99" s="51"/>
      <c r="S99" s="51"/>
      <c r="T99" s="51"/>
      <c r="U99" s="51"/>
      <c r="V99" s="51"/>
      <c r="W99" s="116"/>
    </row>
    <row r="100" spans="4:23" x14ac:dyDescent="0.25">
      <c r="D100" s="15"/>
      <c r="E100" s="15"/>
      <c r="F100" s="16"/>
      <c r="G100" s="16"/>
      <c r="H100" s="16"/>
      <c r="I100" s="16"/>
      <c r="J100" s="16"/>
      <c r="K100" s="16"/>
      <c r="L100" s="16"/>
      <c r="M100" s="16"/>
      <c r="N100" s="16"/>
      <c r="O100" s="16"/>
      <c r="P100" s="16"/>
      <c r="Q100" s="15"/>
      <c r="R100" s="15"/>
      <c r="S100" s="15"/>
      <c r="T100" s="15"/>
      <c r="U100" s="15"/>
      <c r="V100" s="15"/>
      <c r="W100" s="120"/>
    </row>
    <row r="117" spans="4:23" ht="5.45" customHeight="1" x14ac:dyDescent="0.25">
      <c r="D117" s="14"/>
      <c r="E117" s="14"/>
      <c r="F117" s="14"/>
      <c r="G117" s="14"/>
      <c r="H117" s="14"/>
      <c r="I117" s="14"/>
      <c r="J117" s="14"/>
      <c r="K117" s="14"/>
      <c r="L117" s="14"/>
      <c r="M117" s="14"/>
      <c r="N117" s="14"/>
      <c r="O117" s="14"/>
      <c r="P117" s="14"/>
      <c r="Q117" s="14"/>
      <c r="R117" s="14"/>
      <c r="S117" s="14"/>
      <c r="T117" s="14"/>
      <c r="U117" s="14"/>
      <c r="V117" s="14"/>
      <c r="W117" s="123"/>
    </row>
    <row r="118" spans="4:23" s="6" customFormat="1" ht="16.899999999999999" customHeight="1" x14ac:dyDescent="0.25">
      <c r="D118" s="593" t="s">
        <v>159</v>
      </c>
      <c r="E118" s="593"/>
      <c r="F118" s="593"/>
      <c r="G118" s="593"/>
      <c r="H118" s="593"/>
      <c r="I118" s="593"/>
      <c r="J118" s="593"/>
      <c r="K118" s="593"/>
      <c r="L118" s="593"/>
      <c r="M118" s="593"/>
      <c r="N118" s="593"/>
      <c r="O118" s="593"/>
      <c r="P118" s="124"/>
      <c r="W118" s="12"/>
    </row>
  </sheetData>
  <sheetProtection algorithmName="SHA-512" hashValue="iYUQr0WBuJmmKUhPeNbsIwOU/4PrXp6w3+5MBPejxgSf5Yl8wHr9ZjxQmmNn/Gh5gtQvZP0GkLBjapUJ4mmECQ==" saltValue="5HcuYODpmHyiRGpnoRMKow==" spinCount="100000" sheet="1" selectLockedCells="1"/>
  <mergeCells count="86">
    <mergeCell ref="D47:W47"/>
    <mergeCell ref="B81:B89"/>
    <mergeCell ref="D81:W81"/>
    <mergeCell ref="D118:O118"/>
    <mergeCell ref="D86:W86"/>
    <mergeCell ref="D59:F59"/>
    <mergeCell ref="G59:W59"/>
    <mergeCell ref="D61:F61"/>
    <mergeCell ref="G61:Q61"/>
    <mergeCell ref="F62:Q62"/>
    <mergeCell ref="F64:O65"/>
    <mergeCell ref="D88:G88"/>
    <mergeCell ref="H88:J88"/>
    <mergeCell ref="E92:U92"/>
    <mergeCell ref="F53:O54"/>
    <mergeCell ref="F56:Q57"/>
    <mergeCell ref="D58:W58"/>
    <mergeCell ref="G67:W67"/>
    <mergeCell ref="D70:F70"/>
    <mergeCell ref="D48:F48"/>
    <mergeCell ref="G48:W48"/>
    <mergeCell ref="D50:F50"/>
    <mergeCell ref="G50:Q50"/>
    <mergeCell ref="D67:F68"/>
    <mergeCell ref="F51:Q51"/>
    <mergeCell ref="F37:P37"/>
    <mergeCell ref="F39:Q40"/>
    <mergeCell ref="F42:Q43"/>
    <mergeCell ref="F45:Q46"/>
    <mergeCell ref="D36:F36"/>
    <mergeCell ref="G36:Q36"/>
    <mergeCell ref="F29:Q30"/>
    <mergeCell ref="F32:Q33"/>
    <mergeCell ref="F20:Q20"/>
    <mergeCell ref="I4:O4"/>
    <mergeCell ref="P4:W4"/>
    <mergeCell ref="Q5:W6"/>
    <mergeCell ref="I5:O6"/>
    <mergeCell ref="G12:M12"/>
    <mergeCell ref="D4:H5"/>
    <mergeCell ref="N12:S12"/>
    <mergeCell ref="D16:W16"/>
    <mergeCell ref="F21:Q22"/>
    <mergeCell ref="F23:Q24"/>
    <mergeCell ref="F26:Q27"/>
    <mergeCell ref="D35:F35"/>
    <mergeCell ref="G35:R35"/>
    <mergeCell ref="I7:O7"/>
    <mergeCell ref="D76:F76"/>
    <mergeCell ref="I3:O3"/>
    <mergeCell ref="G68:W68"/>
    <mergeCell ref="D2:H3"/>
    <mergeCell ref="D18:F18"/>
    <mergeCell ref="G18:Q18"/>
    <mergeCell ref="P7:W7"/>
    <mergeCell ref="D10:G10"/>
    <mergeCell ref="H10:K10"/>
    <mergeCell ref="R10:W10"/>
    <mergeCell ref="D11:P11"/>
    <mergeCell ref="Q11:R11"/>
    <mergeCell ref="D12:F12"/>
    <mergeCell ref="M97:N97"/>
    <mergeCell ref="J97:L97"/>
    <mergeCell ref="F95:I98"/>
    <mergeCell ref="G71:W71"/>
    <mergeCell ref="G72:W72"/>
    <mergeCell ref="G73:W73"/>
    <mergeCell ref="G74:W74"/>
    <mergeCell ref="G75:W75"/>
    <mergeCell ref="D77:F77"/>
    <mergeCell ref="D78:F78"/>
    <mergeCell ref="D79:F79"/>
    <mergeCell ref="D75:F75"/>
    <mergeCell ref="D71:F71"/>
    <mergeCell ref="D72:F72"/>
    <mergeCell ref="D73:F73"/>
    <mergeCell ref="D74:F74"/>
    <mergeCell ref="G76:W76"/>
    <mergeCell ref="G77:W77"/>
    <mergeCell ref="G78:W78"/>
    <mergeCell ref="G79:W79"/>
    <mergeCell ref="K95:L95"/>
    <mergeCell ref="D83:G83"/>
    <mergeCell ref="H83:K83"/>
    <mergeCell ref="S83:W83"/>
    <mergeCell ref="M83:O83"/>
  </mergeCells>
  <conditionalFormatting sqref="S21">
    <cfRule type="cellIs" dxfId="149" priority="200" operator="equal">
      <formula>"✖"</formula>
    </cfRule>
    <cfRule type="cellIs" dxfId="148" priority="199" operator="equal">
      <formula>"✔"</formula>
    </cfRule>
    <cfRule type="expression" dxfId="147" priority="201">
      <formula>StartDate+0=TODAY()</formula>
    </cfRule>
  </conditionalFormatting>
  <conditionalFormatting sqref="S23">
    <cfRule type="expression" dxfId="146" priority="135">
      <formula>StartDate+0=TODAY()</formula>
    </cfRule>
    <cfRule type="cellIs" dxfId="145" priority="134" operator="equal">
      <formula>"✖"</formula>
    </cfRule>
    <cfRule type="cellIs" dxfId="144" priority="133" operator="equal">
      <formula>"✔"</formula>
    </cfRule>
  </conditionalFormatting>
  <conditionalFormatting sqref="S26">
    <cfRule type="expression" dxfId="143" priority="126">
      <formula>StartDate+0=TODAY()</formula>
    </cfRule>
    <cfRule type="cellIs" dxfId="142" priority="125" operator="equal">
      <formula>"✖"</formula>
    </cfRule>
    <cfRule type="cellIs" dxfId="141" priority="124" operator="equal">
      <formula>"✔"</formula>
    </cfRule>
  </conditionalFormatting>
  <conditionalFormatting sqref="S29">
    <cfRule type="cellIs" dxfId="140" priority="115" operator="equal">
      <formula>"✔"</formula>
    </cfRule>
    <cfRule type="expression" dxfId="139" priority="117">
      <formula>StartDate+0=TODAY()</formula>
    </cfRule>
    <cfRule type="cellIs" dxfId="138" priority="116" operator="equal">
      <formula>"✖"</formula>
    </cfRule>
  </conditionalFormatting>
  <conditionalFormatting sqref="S32">
    <cfRule type="cellIs" dxfId="137" priority="107" operator="equal">
      <formula>"✖"</formula>
    </cfRule>
    <cfRule type="cellIs" dxfId="136" priority="106" operator="equal">
      <formula>"✔"</formula>
    </cfRule>
    <cfRule type="expression" dxfId="135" priority="108">
      <formula>StartDate+0=TODAY()</formula>
    </cfRule>
  </conditionalFormatting>
  <conditionalFormatting sqref="S37">
    <cfRule type="cellIs" dxfId="134" priority="98" operator="equal">
      <formula>"✖"</formula>
    </cfRule>
    <cfRule type="expression" dxfId="133" priority="99">
      <formula>StartDate+0=TODAY()</formula>
    </cfRule>
    <cfRule type="cellIs" dxfId="132" priority="97" operator="equal">
      <formula>"✔"</formula>
    </cfRule>
  </conditionalFormatting>
  <conditionalFormatting sqref="S39">
    <cfRule type="cellIs" dxfId="131" priority="79" operator="equal">
      <formula>"✔"</formula>
    </cfRule>
    <cfRule type="cellIs" dxfId="130" priority="80" operator="equal">
      <formula>"✖"</formula>
    </cfRule>
    <cfRule type="expression" dxfId="129" priority="81">
      <formula>StartDate+0=TODAY()</formula>
    </cfRule>
  </conditionalFormatting>
  <conditionalFormatting sqref="S42">
    <cfRule type="cellIs" dxfId="128" priority="71" operator="equal">
      <formula>"✖"</formula>
    </cfRule>
    <cfRule type="cellIs" dxfId="127" priority="70" operator="equal">
      <formula>"✔"</formula>
    </cfRule>
    <cfRule type="expression" dxfId="126" priority="72">
      <formula>StartDate+0=TODAY()</formula>
    </cfRule>
  </conditionalFormatting>
  <conditionalFormatting sqref="S45">
    <cfRule type="cellIs" dxfId="125" priority="62" operator="equal">
      <formula>"✖"</formula>
    </cfRule>
    <cfRule type="expression" dxfId="124" priority="63">
      <formula>StartDate+0=TODAY()</formula>
    </cfRule>
    <cfRule type="cellIs" dxfId="123" priority="61" operator="equal">
      <formula>"✔"</formula>
    </cfRule>
  </conditionalFormatting>
  <conditionalFormatting sqref="S51">
    <cfRule type="expression" dxfId="122" priority="45">
      <formula>StartDate+0=TODAY()</formula>
    </cfRule>
    <cfRule type="cellIs" dxfId="121" priority="43" operator="equal">
      <formula>"✔"</formula>
    </cfRule>
    <cfRule type="cellIs" dxfId="120" priority="44" operator="equal">
      <formula>"✖"</formula>
    </cfRule>
  </conditionalFormatting>
  <conditionalFormatting sqref="S53">
    <cfRule type="cellIs" dxfId="119" priority="34" operator="equal">
      <formula>"✔"</formula>
    </cfRule>
    <cfRule type="cellIs" dxfId="118" priority="35" operator="equal">
      <formula>"✖"</formula>
    </cfRule>
    <cfRule type="expression" dxfId="117" priority="36">
      <formula>StartDate+0=TODAY()</formula>
    </cfRule>
  </conditionalFormatting>
  <conditionalFormatting sqref="S56">
    <cfRule type="expression" dxfId="116" priority="27">
      <formula>StartDate+0=TODAY()</formula>
    </cfRule>
    <cfRule type="cellIs" dxfId="115" priority="26" operator="equal">
      <formula>"✖"</formula>
    </cfRule>
    <cfRule type="cellIs" dxfId="114" priority="25" operator="equal">
      <formula>"✔"</formula>
    </cfRule>
  </conditionalFormatting>
  <conditionalFormatting sqref="S62">
    <cfRule type="expression" dxfId="113" priority="18">
      <formula>StartDate+0=TODAY()</formula>
    </cfRule>
    <cfRule type="cellIs" dxfId="112" priority="16" operator="equal">
      <formula>"✔"</formula>
    </cfRule>
    <cfRule type="cellIs" dxfId="111" priority="17" operator="equal">
      <formula>"✖"</formula>
    </cfRule>
  </conditionalFormatting>
  <conditionalFormatting sqref="S64">
    <cfRule type="cellIs" dxfId="110" priority="7" operator="equal">
      <formula>"✔"</formula>
    </cfRule>
    <cfRule type="expression" dxfId="109" priority="9">
      <formula>StartDate+0=TODAY()</formula>
    </cfRule>
    <cfRule type="cellIs" dxfId="108" priority="8" operator="equal">
      <formula>"✖"</formula>
    </cfRule>
  </conditionalFormatting>
  <conditionalFormatting sqref="U12">
    <cfRule type="cellIs" dxfId="107" priority="154" operator="equal">
      <formula>"✔"</formula>
    </cfRule>
    <cfRule type="cellIs" dxfId="106" priority="155" operator="equal">
      <formula>"✖"</formula>
    </cfRule>
    <cfRule type="expression" dxfId="105" priority="156">
      <formula>StartDate+0=TODAY()</formula>
    </cfRule>
  </conditionalFormatting>
  <conditionalFormatting sqref="U21">
    <cfRule type="cellIs" dxfId="104" priority="196" operator="equal">
      <formula>"✔"</formula>
    </cfRule>
    <cfRule type="cellIs" dxfId="103" priority="197" operator="equal">
      <formula>"✖"</formula>
    </cfRule>
    <cfRule type="expression" dxfId="102" priority="198">
      <formula>StartDate+0=TODAY()</formula>
    </cfRule>
  </conditionalFormatting>
  <conditionalFormatting sqref="U23">
    <cfRule type="cellIs" dxfId="101" priority="130" operator="equal">
      <formula>"✔"</formula>
    </cfRule>
    <cfRule type="expression" dxfId="100" priority="132">
      <formula>StartDate+0=TODAY()</formula>
    </cfRule>
    <cfRule type="cellIs" dxfId="99" priority="131" operator="equal">
      <formula>"✖"</formula>
    </cfRule>
  </conditionalFormatting>
  <conditionalFormatting sqref="U26">
    <cfRule type="cellIs" dxfId="98" priority="122" operator="equal">
      <formula>"✖"</formula>
    </cfRule>
    <cfRule type="expression" dxfId="97" priority="123">
      <formula>StartDate+0=TODAY()</formula>
    </cfRule>
    <cfRule type="cellIs" dxfId="96" priority="121" operator="equal">
      <formula>"✔"</formula>
    </cfRule>
  </conditionalFormatting>
  <conditionalFormatting sqref="U29">
    <cfRule type="cellIs" dxfId="95" priority="112" operator="equal">
      <formula>"✔"</formula>
    </cfRule>
    <cfRule type="cellIs" dxfId="94" priority="113" operator="equal">
      <formula>"✖"</formula>
    </cfRule>
    <cfRule type="expression" dxfId="93" priority="114">
      <formula>StartDate+0=TODAY()</formula>
    </cfRule>
  </conditionalFormatting>
  <conditionalFormatting sqref="U32">
    <cfRule type="cellIs" dxfId="92" priority="104" operator="equal">
      <formula>"✖"</formula>
    </cfRule>
    <cfRule type="cellIs" dxfId="91" priority="103" operator="equal">
      <formula>"✔"</formula>
    </cfRule>
    <cfRule type="expression" dxfId="90" priority="105">
      <formula>StartDate+0=TODAY()</formula>
    </cfRule>
  </conditionalFormatting>
  <conditionalFormatting sqref="U37">
    <cfRule type="expression" dxfId="89" priority="96">
      <formula>StartDate+0=TODAY()</formula>
    </cfRule>
    <cfRule type="cellIs" dxfId="88" priority="95" operator="equal">
      <formula>"✖"</formula>
    </cfRule>
    <cfRule type="cellIs" dxfId="87" priority="94" operator="equal">
      <formula>"✔"</formula>
    </cfRule>
  </conditionalFormatting>
  <conditionalFormatting sqref="U39">
    <cfRule type="expression" dxfId="86" priority="78">
      <formula>StartDate+0=TODAY()</formula>
    </cfRule>
    <cfRule type="cellIs" dxfId="85" priority="77" operator="equal">
      <formula>"✖"</formula>
    </cfRule>
    <cfRule type="cellIs" dxfId="84" priority="76" operator="equal">
      <formula>"✔"</formula>
    </cfRule>
  </conditionalFormatting>
  <conditionalFormatting sqref="U42">
    <cfRule type="cellIs" dxfId="83" priority="67" operator="equal">
      <formula>"✔"</formula>
    </cfRule>
    <cfRule type="cellIs" dxfId="82" priority="68" operator="equal">
      <formula>"✖"</formula>
    </cfRule>
    <cfRule type="expression" dxfId="81" priority="69">
      <formula>StartDate+0=TODAY()</formula>
    </cfRule>
  </conditionalFormatting>
  <conditionalFormatting sqref="U45">
    <cfRule type="expression" dxfId="80" priority="60">
      <formula>StartDate+0=TODAY()</formula>
    </cfRule>
    <cfRule type="cellIs" dxfId="79" priority="58" operator="equal">
      <formula>"✔"</formula>
    </cfRule>
    <cfRule type="cellIs" dxfId="78" priority="59" operator="equal">
      <formula>"✖"</formula>
    </cfRule>
  </conditionalFormatting>
  <conditionalFormatting sqref="U51">
    <cfRule type="cellIs" dxfId="77" priority="41" operator="equal">
      <formula>"✖"</formula>
    </cfRule>
    <cfRule type="expression" dxfId="76" priority="42">
      <formula>StartDate+0=TODAY()</formula>
    </cfRule>
    <cfRule type="cellIs" dxfId="75" priority="40" operator="equal">
      <formula>"✔"</formula>
    </cfRule>
  </conditionalFormatting>
  <conditionalFormatting sqref="U53">
    <cfRule type="cellIs" dxfId="74" priority="32" operator="equal">
      <formula>"✖"</formula>
    </cfRule>
    <cfRule type="cellIs" dxfId="73" priority="31" operator="equal">
      <formula>"✔"</formula>
    </cfRule>
    <cfRule type="expression" dxfId="72" priority="33">
      <formula>StartDate+0=TODAY()</formula>
    </cfRule>
  </conditionalFormatting>
  <conditionalFormatting sqref="U56">
    <cfRule type="cellIs" dxfId="71" priority="22" operator="equal">
      <formula>"✔"</formula>
    </cfRule>
    <cfRule type="cellIs" dxfId="70" priority="23" operator="equal">
      <formula>"✖"</formula>
    </cfRule>
    <cfRule type="expression" dxfId="69" priority="24">
      <formula>StartDate+0=TODAY()</formula>
    </cfRule>
  </conditionalFormatting>
  <conditionalFormatting sqref="U62">
    <cfRule type="expression" dxfId="68" priority="15">
      <formula>StartDate+0=TODAY()</formula>
    </cfRule>
    <cfRule type="cellIs" dxfId="67" priority="13" operator="equal">
      <formula>"✔"</formula>
    </cfRule>
    <cfRule type="cellIs" dxfId="66" priority="14" operator="equal">
      <formula>"✖"</formula>
    </cfRule>
  </conditionalFormatting>
  <conditionalFormatting sqref="U64">
    <cfRule type="expression" dxfId="65" priority="6">
      <formula>StartDate+0=TODAY()</formula>
    </cfRule>
    <cfRule type="cellIs" dxfId="64" priority="5" operator="equal">
      <formula>"✖"</formula>
    </cfRule>
    <cfRule type="cellIs" dxfId="63" priority="4" operator="equal">
      <formula>"✔"</formula>
    </cfRule>
  </conditionalFormatting>
  <conditionalFormatting sqref="W21">
    <cfRule type="cellIs" dxfId="62" priority="194" operator="equal">
      <formula>"✖"</formula>
    </cfRule>
    <cfRule type="cellIs" dxfId="61" priority="193" operator="equal">
      <formula>"✔"</formula>
    </cfRule>
    <cfRule type="expression" dxfId="60" priority="195">
      <formula>StartDate+0=TODAY()</formula>
    </cfRule>
  </conditionalFormatting>
  <conditionalFormatting sqref="W23">
    <cfRule type="cellIs" dxfId="59" priority="127" operator="equal">
      <formula>"✔"</formula>
    </cfRule>
    <cfRule type="cellIs" dxfId="58" priority="128" operator="equal">
      <formula>"✖"</formula>
    </cfRule>
    <cfRule type="expression" dxfId="57" priority="129">
      <formula>StartDate+0=TODAY()</formula>
    </cfRule>
  </conditionalFormatting>
  <conditionalFormatting sqref="W26">
    <cfRule type="cellIs" dxfId="56" priority="119" operator="equal">
      <formula>"✖"</formula>
    </cfRule>
    <cfRule type="expression" dxfId="55" priority="120">
      <formula>StartDate+0=TODAY()</formula>
    </cfRule>
    <cfRule type="cellIs" dxfId="54" priority="118" operator="equal">
      <formula>"✔"</formula>
    </cfRule>
  </conditionalFormatting>
  <conditionalFormatting sqref="W29">
    <cfRule type="cellIs" dxfId="53" priority="110" operator="equal">
      <formula>"✖"</formula>
    </cfRule>
    <cfRule type="expression" dxfId="52" priority="111">
      <formula>StartDate+0=TODAY()</formula>
    </cfRule>
    <cfRule type="cellIs" dxfId="51" priority="109" operator="equal">
      <formula>"✔"</formula>
    </cfRule>
  </conditionalFormatting>
  <conditionalFormatting sqref="W32">
    <cfRule type="cellIs" dxfId="50" priority="101" operator="equal">
      <formula>"✖"</formula>
    </cfRule>
    <cfRule type="cellIs" dxfId="49" priority="100" operator="equal">
      <formula>"✔"</formula>
    </cfRule>
    <cfRule type="expression" dxfId="48" priority="102">
      <formula>StartDate+0=TODAY()</formula>
    </cfRule>
  </conditionalFormatting>
  <conditionalFormatting sqref="W37">
    <cfRule type="expression" dxfId="47" priority="93">
      <formula>StartDate+0=TODAY()</formula>
    </cfRule>
    <cfRule type="cellIs" dxfId="46" priority="92" operator="equal">
      <formula>"✖"</formula>
    </cfRule>
    <cfRule type="cellIs" dxfId="45" priority="91" operator="equal">
      <formula>"✔"</formula>
    </cfRule>
  </conditionalFormatting>
  <conditionalFormatting sqref="W39">
    <cfRule type="expression" dxfId="44" priority="75">
      <formula>StartDate+0=TODAY()</formula>
    </cfRule>
    <cfRule type="cellIs" dxfId="43" priority="74" operator="equal">
      <formula>"✖"</formula>
    </cfRule>
    <cfRule type="cellIs" dxfId="42" priority="73" operator="equal">
      <formula>"✔"</formula>
    </cfRule>
  </conditionalFormatting>
  <conditionalFormatting sqref="W42">
    <cfRule type="expression" dxfId="41" priority="66">
      <formula>StartDate+0=TODAY()</formula>
    </cfRule>
    <cfRule type="cellIs" dxfId="40" priority="65" operator="equal">
      <formula>"✖"</formula>
    </cfRule>
    <cfRule type="cellIs" dxfId="39" priority="64" operator="equal">
      <formula>"✔"</formula>
    </cfRule>
  </conditionalFormatting>
  <conditionalFormatting sqref="W45">
    <cfRule type="cellIs" dxfId="38" priority="55" operator="equal">
      <formula>"✔"</formula>
    </cfRule>
    <cfRule type="expression" dxfId="37" priority="57">
      <formula>StartDate+0=TODAY()</formula>
    </cfRule>
    <cfRule type="cellIs" dxfId="36" priority="56" operator="equal">
      <formula>"✖"</formula>
    </cfRule>
  </conditionalFormatting>
  <conditionalFormatting sqref="W51">
    <cfRule type="cellIs" dxfId="35" priority="37" operator="equal">
      <formula>"✔"</formula>
    </cfRule>
    <cfRule type="expression" dxfId="34" priority="39">
      <formula>StartDate+0=TODAY()</formula>
    </cfRule>
    <cfRule type="cellIs" dxfId="33" priority="38" operator="equal">
      <formula>"✖"</formula>
    </cfRule>
  </conditionalFormatting>
  <conditionalFormatting sqref="W53">
    <cfRule type="cellIs" dxfId="32" priority="29" operator="equal">
      <formula>"✖"</formula>
    </cfRule>
    <cfRule type="cellIs" dxfId="31" priority="28" operator="equal">
      <formula>"✔"</formula>
    </cfRule>
    <cfRule type="expression" dxfId="30" priority="30">
      <formula>StartDate+0=TODAY()</formula>
    </cfRule>
  </conditionalFormatting>
  <conditionalFormatting sqref="W56">
    <cfRule type="expression" dxfId="29" priority="21">
      <formula>StartDate+0=TODAY()</formula>
    </cfRule>
    <cfRule type="cellIs" dxfId="28" priority="20" operator="equal">
      <formula>"✖"</formula>
    </cfRule>
    <cfRule type="cellIs" dxfId="27" priority="19" operator="equal">
      <formula>"✔"</formula>
    </cfRule>
  </conditionalFormatting>
  <conditionalFormatting sqref="W62">
    <cfRule type="cellIs" dxfId="26" priority="11" operator="equal">
      <formula>"✖"</formula>
    </cfRule>
    <cfRule type="cellIs" dxfId="25" priority="10" operator="equal">
      <formula>"✔"</formula>
    </cfRule>
    <cfRule type="expression" dxfId="24" priority="12">
      <formula>StartDate+0=TODAY()</formula>
    </cfRule>
  </conditionalFormatting>
  <conditionalFormatting sqref="W64">
    <cfRule type="expression" dxfId="23" priority="3">
      <formula>StartDate+0=TODAY()</formula>
    </cfRule>
    <cfRule type="cellIs" dxfId="22" priority="2" operator="equal">
      <formula>"✖"</formula>
    </cfRule>
    <cfRule type="cellIs" dxfId="21" priority="1" operator="equal">
      <formula>"✔"</formula>
    </cfRule>
  </conditionalFormatting>
  <printOptions horizontalCentered="1"/>
  <pageMargins left="0.25" right="0.25" top="0.25" bottom="0.5" header="0.3" footer="0.3"/>
  <pageSetup scale="80" orientation="portrait" r:id="rId1"/>
  <headerFooter differentFirst="1">
    <oddHeader>&amp;L     Annual Owner Certification (AOC) Report
     Part B - Supplemental Certification of HTC Compliance</oddHeader>
    <oddFooter>&amp;RMHC Rev. 03/2025</oddFooter>
  </headerFooter>
  <rowBreaks count="1" manualBreakCount="1">
    <brk id="51" min="3"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18</xdr:col>
                    <xdr:colOff>0</xdr:colOff>
                    <xdr:row>20</xdr:row>
                    <xdr:rowOff>19050</xdr:rowOff>
                  </from>
                  <to>
                    <xdr:col>19</xdr:col>
                    <xdr:colOff>9525</xdr:colOff>
                    <xdr:row>20</xdr:row>
                    <xdr:rowOff>180975</xdr:rowOff>
                  </to>
                </anchor>
              </controlPr>
            </control>
          </mc:Choice>
        </mc:AlternateContent>
        <mc:AlternateContent xmlns:mc="http://schemas.openxmlformats.org/markup-compatibility/2006">
          <mc:Choice Requires="x14">
            <control shapeId="8194" r:id="rId5" name="Check Box 2">
              <controlPr locked="0" defaultSize="0" autoFill="0" autoLine="0" autoPict="0">
                <anchor moveWithCells="1">
                  <from>
                    <xdr:col>20</xdr:col>
                    <xdr:colOff>19050</xdr:colOff>
                    <xdr:row>20</xdr:row>
                    <xdr:rowOff>0</xdr:rowOff>
                  </from>
                  <to>
                    <xdr:col>21</xdr:col>
                    <xdr:colOff>47625</xdr:colOff>
                    <xdr:row>21</xdr:row>
                    <xdr:rowOff>19050</xdr:rowOff>
                  </to>
                </anchor>
              </controlPr>
            </control>
          </mc:Choice>
        </mc:AlternateContent>
        <mc:AlternateContent xmlns:mc="http://schemas.openxmlformats.org/markup-compatibility/2006">
          <mc:Choice Requires="x14">
            <control shapeId="8195" r:id="rId6" name="Check Box 3">
              <controlPr locked="0" defaultSize="0" autoFill="0" autoLine="0" autoPict="0">
                <anchor moveWithCells="1">
                  <from>
                    <xdr:col>22</xdr:col>
                    <xdr:colOff>19050</xdr:colOff>
                    <xdr:row>20</xdr:row>
                    <xdr:rowOff>0</xdr:rowOff>
                  </from>
                  <to>
                    <xdr:col>23</xdr:col>
                    <xdr:colOff>57150</xdr:colOff>
                    <xdr:row>21</xdr:row>
                    <xdr:rowOff>19050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18</xdr:col>
                    <xdr:colOff>19050</xdr:colOff>
                    <xdr:row>22</xdr:row>
                    <xdr:rowOff>19050</xdr:rowOff>
                  </from>
                  <to>
                    <xdr:col>19</xdr:col>
                    <xdr:colOff>28575</xdr:colOff>
                    <xdr:row>22</xdr:row>
                    <xdr:rowOff>180975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20</xdr:col>
                    <xdr:colOff>28575</xdr:colOff>
                    <xdr:row>21</xdr:row>
                    <xdr:rowOff>609600</xdr:rowOff>
                  </from>
                  <to>
                    <xdr:col>21</xdr:col>
                    <xdr:colOff>57150</xdr:colOff>
                    <xdr:row>22</xdr:row>
                    <xdr:rowOff>209550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22</xdr:col>
                    <xdr:colOff>19050</xdr:colOff>
                    <xdr:row>22</xdr:row>
                    <xdr:rowOff>0</xdr:rowOff>
                  </from>
                  <to>
                    <xdr:col>23</xdr:col>
                    <xdr:colOff>57150</xdr:colOff>
                    <xdr:row>22</xdr:row>
                    <xdr:rowOff>209550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18</xdr:col>
                    <xdr:colOff>19050</xdr:colOff>
                    <xdr:row>25</xdr:row>
                    <xdr:rowOff>19050</xdr:rowOff>
                  </from>
                  <to>
                    <xdr:col>19</xdr:col>
                    <xdr:colOff>28575</xdr:colOff>
                    <xdr:row>25</xdr:row>
                    <xdr:rowOff>180975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20</xdr:col>
                    <xdr:colOff>28575</xdr:colOff>
                    <xdr:row>25</xdr:row>
                    <xdr:rowOff>0</xdr:rowOff>
                  </from>
                  <to>
                    <xdr:col>21</xdr:col>
                    <xdr:colOff>57150</xdr:colOff>
                    <xdr:row>25</xdr:row>
                    <xdr:rowOff>209550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22</xdr:col>
                    <xdr:colOff>19050</xdr:colOff>
                    <xdr:row>25</xdr:row>
                    <xdr:rowOff>0</xdr:rowOff>
                  </from>
                  <to>
                    <xdr:col>23</xdr:col>
                    <xdr:colOff>57150</xdr:colOff>
                    <xdr:row>25</xdr:row>
                    <xdr:rowOff>209550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18</xdr:col>
                    <xdr:colOff>19050</xdr:colOff>
                    <xdr:row>28</xdr:row>
                    <xdr:rowOff>19050</xdr:rowOff>
                  </from>
                  <to>
                    <xdr:col>19</xdr:col>
                    <xdr:colOff>28575</xdr:colOff>
                    <xdr:row>28</xdr:row>
                    <xdr:rowOff>180975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20</xdr:col>
                    <xdr:colOff>28575</xdr:colOff>
                    <xdr:row>28</xdr:row>
                    <xdr:rowOff>0</xdr:rowOff>
                  </from>
                  <to>
                    <xdr:col>21</xdr:col>
                    <xdr:colOff>57150</xdr:colOff>
                    <xdr:row>28</xdr:row>
                    <xdr:rowOff>209550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22</xdr:col>
                    <xdr:colOff>28575</xdr:colOff>
                    <xdr:row>28</xdr:row>
                    <xdr:rowOff>0</xdr:rowOff>
                  </from>
                  <to>
                    <xdr:col>23</xdr:col>
                    <xdr:colOff>66675</xdr:colOff>
                    <xdr:row>28</xdr:row>
                    <xdr:rowOff>209550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18</xdr:col>
                    <xdr:colOff>19050</xdr:colOff>
                    <xdr:row>31</xdr:row>
                    <xdr:rowOff>19050</xdr:rowOff>
                  </from>
                  <to>
                    <xdr:col>19</xdr:col>
                    <xdr:colOff>28575</xdr:colOff>
                    <xdr:row>31</xdr:row>
                    <xdr:rowOff>180975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20</xdr:col>
                    <xdr:colOff>28575</xdr:colOff>
                    <xdr:row>31</xdr:row>
                    <xdr:rowOff>0</xdr:rowOff>
                  </from>
                  <to>
                    <xdr:col>21</xdr:col>
                    <xdr:colOff>57150</xdr:colOff>
                    <xdr:row>31</xdr:row>
                    <xdr:rowOff>209550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22</xdr:col>
                    <xdr:colOff>19050</xdr:colOff>
                    <xdr:row>31</xdr:row>
                    <xdr:rowOff>0</xdr:rowOff>
                  </from>
                  <to>
                    <xdr:col>23</xdr:col>
                    <xdr:colOff>57150</xdr:colOff>
                    <xdr:row>31</xdr:row>
                    <xdr:rowOff>209550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18</xdr:col>
                    <xdr:colOff>57150</xdr:colOff>
                    <xdr:row>36</xdr:row>
                    <xdr:rowOff>19050</xdr:rowOff>
                  </from>
                  <to>
                    <xdr:col>20</xdr:col>
                    <xdr:colOff>19050</xdr:colOff>
                    <xdr:row>36</xdr:row>
                    <xdr:rowOff>180975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20</xdr:col>
                    <xdr:colOff>57150</xdr:colOff>
                    <xdr:row>36</xdr:row>
                    <xdr:rowOff>0</xdr:rowOff>
                  </from>
                  <to>
                    <xdr:col>22</xdr:col>
                    <xdr:colOff>19050</xdr:colOff>
                    <xdr:row>36</xdr:row>
                    <xdr:rowOff>209550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22</xdr:col>
                    <xdr:colOff>28575</xdr:colOff>
                    <xdr:row>36</xdr:row>
                    <xdr:rowOff>0</xdr:rowOff>
                  </from>
                  <to>
                    <xdr:col>23</xdr:col>
                    <xdr:colOff>66675</xdr:colOff>
                    <xdr:row>36</xdr:row>
                    <xdr:rowOff>209550</xdr:rowOff>
                  </to>
                </anchor>
              </controlPr>
            </control>
          </mc:Choice>
        </mc:AlternateContent>
        <mc:AlternateContent xmlns:mc="http://schemas.openxmlformats.org/markup-compatibility/2006">
          <mc:Choice Requires="x14">
            <control shapeId="8214" r:id="rId22" name="Check Box 22">
              <controlPr defaultSize="0" autoFill="0" autoLine="0" autoPict="0">
                <anchor moveWithCells="1">
                  <from>
                    <xdr:col>18</xdr:col>
                    <xdr:colOff>57150</xdr:colOff>
                    <xdr:row>38</xdr:row>
                    <xdr:rowOff>19050</xdr:rowOff>
                  </from>
                  <to>
                    <xdr:col>20</xdr:col>
                    <xdr:colOff>19050</xdr:colOff>
                    <xdr:row>38</xdr:row>
                    <xdr:rowOff>180975</xdr:rowOff>
                  </to>
                </anchor>
              </controlPr>
            </control>
          </mc:Choice>
        </mc:AlternateContent>
        <mc:AlternateContent xmlns:mc="http://schemas.openxmlformats.org/markup-compatibility/2006">
          <mc:Choice Requires="x14">
            <control shapeId="8215" r:id="rId23" name="Check Box 23">
              <controlPr defaultSize="0" autoFill="0" autoLine="0" autoPict="0">
                <anchor moveWithCells="1">
                  <from>
                    <xdr:col>20</xdr:col>
                    <xdr:colOff>57150</xdr:colOff>
                    <xdr:row>38</xdr:row>
                    <xdr:rowOff>0</xdr:rowOff>
                  </from>
                  <to>
                    <xdr:col>22</xdr:col>
                    <xdr:colOff>19050</xdr:colOff>
                    <xdr:row>38</xdr:row>
                    <xdr:rowOff>209550</xdr:rowOff>
                  </to>
                </anchor>
              </controlPr>
            </control>
          </mc:Choice>
        </mc:AlternateContent>
        <mc:AlternateContent xmlns:mc="http://schemas.openxmlformats.org/markup-compatibility/2006">
          <mc:Choice Requires="x14">
            <control shapeId="8216" r:id="rId24" name="Check Box 24">
              <controlPr defaultSize="0" autoFill="0" autoLine="0" autoPict="0">
                <anchor moveWithCells="1">
                  <from>
                    <xdr:col>22</xdr:col>
                    <xdr:colOff>28575</xdr:colOff>
                    <xdr:row>38</xdr:row>
                    <xdr:rowOff>0</xdr:rowOff>
                  </from>
                  <to>
                    <xdr:col>23</xdr:col>
                    <xdr:colOff>66675</xdr:colOff>
                    <xdr:row>38</xdr:row>
                    <xdr:rowOff>209550</xdr:rowOff>
                  </to>
                </anchor>
              </controlPr>
            </control>
          </mc:Choice>
        </mc:AlternateContent>
        <mc:AlternateContent xmlns:mc="http://schemas.openxmlformats.org/markup-compatibility/2006">
          <mc:Choice Requires="x14">
            <control shapeId="8217" r:id="rId25" name="Check Box 25">
              <controlPr defaultSize="0" autoFill="0" autoLine="0" autoPict="0">
                <anchor moveWithCells="1">
                  <from>
                    <xdr:col>18</xdr:col>
                    <xdr:colOff>57150</xdr:colOff>
                    <xdr:row>41</xdr:row>
                    <xdr:rowOff>19050</xdr:rowOff>
                  </from>
                  <to>
                    <xdr:col>20</xdr:col>
                    <xdr:colOff>19050</xdr:colOff>
                    <xdr:row>41</xdr:row>
                    <xdr:rowOff>180975</xdr:rowOff>
                  </to>
                </anchor>
              </controlPr>
            </control>
          </mc:Choice>
        </mc:AlternateContent>
        <mc:AlternateContent xmlns:mc="http://schemas.openxmlformats.org/markup-compatibility/2006">
          <mc:Choice Requires="x14">
            <control shapeId="8218" r:id="rId26" name="Check Box 26">
              <controlPr defaultSize="0" autoFill="0" autoLine="0" autoPict="0">
                <anchor moveWithCells="1">
                  <from>
                    <xdr:col>20</xdr:col>
                    <xdr:colOff>57150</xdr:colOff>
                    <xdr:row>41</xdr:row>
                    <xdr:rowOff>0</xdr:rowOff>
                  </from>
                  <to>
                    <xdr:col>22</xdr:col>
                    <xdr:colOff>19050</xdr:colOff>
                    <xdr:row>41</xdr:row>
                    <xdr:rowOff>209550</xdr:rowOff>
                  </to>
                </anchor>
              </controlPr>
            </control>
          </mc:Choice>
        </mc:AlternateContent>
        <mc:AlternateContent xmlns:mc="http://schemas.openxmlformats.org/markup-compatibility/2006">
          <mc:Choice Requires="x14">
            <control shapeId="8219" r:id="rId27" name="Check Box 27">
              <controlPr defaultSize="0" autoFill="0" autoLine="0" autoPict="0">
                <anchor moveWithCells="1">
                  <from>
                    <xdr:col>22</xdr:col>
                    <xdr:colOff>28575</xdr:colOff>
                    <xdr:row>41</xdr:row>
                    <xdr:rowOff>0</xdr:rowOff>
                  </from>
                  <to>
                    <xdr:col>23</xdr:col>
                    <xdr:colOff>66675</xdr:colOff>
                    <xdr:row>41</xdr:row>
                    <xdr:rowOff>209550</xdr:rowOff>
                  </to>
                </anchor>
              </controlPr>
            </control>
          </mc:Choice>
        </mc:AlternateContent>
        <mc:AlternateContent xmlns:mc="http://schemas.openxmlformats.org/markup-compatibility/2006">
          <mc:Choice Requires="x14">
            <control shapeId="8220" r:id="rId28" name="Check Box 28">
              <controlPr defaultSize="0" autoFill="0" autoLine="0" autoPict="0">
                <anchor moveWithCells="1">
                  <from>
                    <xdr:col>18</xdr:col>
                    <xdr:colOff>57150</xdr:colOff>
                    <xdr:row>44</xdr:row>
                    <xdr:rowOff>19050</xdr:rowOff>
                  </from>
                  <to>
                    <xdr:col>20</xdr:col>
                    <xdr:colOff>19050</xdr:colOff>
                    <xdr:row>44</xdr:row>
                    <xdr:rowOff>180975</xdr:rowOff>
                  </to>
                </anchor>
              </controlPr>
            </control>
          </mc:Choice>
        </mc:AlternateContent>
        <mc:AlternateContent xmlns:mc="http://schemas.openxmlformats.org/markup-compatibility/2006">
          <mc:Choice Requires="x14">
            <control shapeId="8221" r:id="rId29" name="Check Box 29">
              <controlPr defaultSize="0" autoFill="0" autoLine="0" autoPict="0">
                <anchor moveWithCells="1">
                  <from>
                    <xdr:col>20</xdr:col>
                    <xdr:colOff>57150</xdr:colOff>
                    <xdr:row>43</xdr:row>
                    <xdr:rowOff>95250</xdr:rowOff>
                  </from>
                  <to>
                    <xdr:col>22</xdr:col>
                    <xdr:colOff>19050</xdr:colOff>
                    <xdr:row>44</xdr:row>
                    <xdr:rowOff>200025</xdr:rowOff>
                  </to>
                </anchor>
              </controlPr>
            </control>
          </mc:Choice>
        </mc:AlternateContent>
        <mc:AlternateContent xmlns:mc="http://schemas.openxmlformats.org/markup-compatibility/2006">
          <mc:Choice Requires="x14">
            <control shapeId="8222" r:id="rId30" name="Check Box 30">
              <controlPr defaultSize="0" autoFill="0" autoLine="0" autoPict="0">
                <anchor moveWithCells="1">
                  <from>
                    <xdr:col>22</xdr:col>
                    <xdr:colOff>28575</xdr:colOff>
                    <xdr:row>43</xdr:row>
                    <xdr:rowOff>95250</xdr:rowOff>
                  </from>
                  <to>
                    <xdr:col>23</xdr:col>
                    <xdr:colOff>66675</xdr:colOff>
                    <xdr:row>44</xdr:row>
                    <xdr:rowOff>200025</xdr:rowOff>
                  </to>
                </anchor>
              </controlPr>
            </control>
          </mc:Choice>
        </mc:AlternateContent>
        <mc:AlternateContent xmlns:mc="http://schemas.openxmlformats.org/markup-compatibility/2006">
          <mc:Choice Requires="x14">
            <control shapeId="8223" r:id="rId31" name="Check Box 31">
              <controlPr defaultSize="0" autoFill="0" autoLine="0" autoPict="0">
                <anchor moveWithCells="1">
                  <from>
                    <xdr:col>18</xdr:col>
                    <xdr:colOff>57150</xdr:colOff>
                    <xdr:row>50</xdr:row>
                    <xdr:rowOff>19050</xdr:rowOff>
                  </from>
                  <to>
                    <xdr:col>20</xdr:col>
                    <xdr:colOff>19050</xdr:colOff>
                    <xdr:row>50</xdr:row>
                    <xdr:rowOff>180975</xdr:rowOff>
                  </to>
                </anchor>
              </controlPr>
            </control>
          </mc:Choice>
        </mc:AlternateContent>
        <mc:AlternateContent xmlns:mc="http://schemas.openxmlformats.org/markup-compatibility/2006">
          <mc:Choice Requires="x14">
            <control shapeId="8224" r:id="rId32" name="Check Box 32">
              <controlPr defaultSize="0" autoFill="0" autoLine="0" autoPict="0">
                <anchor moveWithCells="1">
                  <from>
                    <xdr:col>20</xdr:col>
                    <xdr:colOff>57150</xdr:colOff>
                    <xdr:row>50</xdr:row>
                    <xdr:rowOff>0</xdr:rowOff>
                  </from>
                  <to>
                    <xdr:col>22</xdr:col>
                    <xdr:colOff>19050</xdr:colOff>
                    <xdr:row>50</xdr:row>
                    <xdr:rowOff>209550</xdr:rowOff>
                  </to>
                </anchor>
              </controlPr>
            </control>
          </mc:Choice>
        </mc:AlternateContent>
        <mc:AlternateContent xmlns:mc="http://schemas.openxmlformats.org/markup-compatibility/2006">
          <mc:Choice Requires="x14">
            <control shapeId="8225" r:id="rId33" name="Check Box 33">
              <controlPr defaultSize="0" autoFill="0" autoLine="0" autoPict="0">
                <anchor moveWithCells="1">
                  <from>
                    <xdr:col>22</xdr:col>
                    <xdr:colOff>28575</xdr:colOff>
                    <xdr:row>50</xdr:row>
                    <xdr:rowOff>0</xdr:rowOff>
                  </from>
                  <to>
                    <xdr:col>23</xdr:col>
                    <xdr:colOff>66675</xdr:colOff>
                    <xdr:row>50</xdr:row>
                    <xdr:rowOff>209550</xdr:rowOff>
                  </to>
                </anchor>
              </controlPr>
            </control>
          </mc:Choice>
        </mc:AlternateContent>
        <mc:AlternateContent xmlns:mc="http://schemas.openxmlformats.org/markup-compatibility/2006">
          <mc:Choice Requires="x14">
            <control shapeId="8226" r:id="rId34" name="Check Box 34">
              <controlPr defaultSize="0" autoFill="0" autoLine="0" autoPict="0">
                <anchor moveWithCells="1">
                  <from>
                    <xdr:col>18</xdr:col>
                    <xdr:colOff>57150</xdr:colOff>
                    <xdr:row>52</xdr:row>
                    <xdr:rowOff>19050</xdr:rowOff>
                  </from>
                  <to>
                    <xdr:col>20</xdr:col>
                    <xdr:colOff>19050</xdr:colOff>
                    <xdr:row>52</xdr:row>
                    <xdr:rowOff>180975</xdr:rowOff>
                  </to>
                </anchor>
              </controlPr>
            </control>
          </mc:Choice>
        </mc:AlternateContent>
        <mc:AlternateContent xmlns:mc="http://schemas.openxmlformats.org/markup-compatibility/2006">
          <mc:Choice Requires="x14">
            <control shapeId="8227" r:id="rId35" name="Check Box 35">
              <controlPr defaultSize="0" autoFill="0" autoLine="0" autoPict="0">
                <anchor moveWithCells="1">
                  <from>
                    <xdr:col>20</xdr:col>
                    <xdr:colOff>57150</xdr:colOff>
                    <xdr:row>52</xdr:row>
                    <xdr:rowOff>0</xdr:rowOff>
                  </from>
                  <to>
                    <xdr:col>22</xdr:col>
                    <xdr:colOff>19050</xdr:colOff>
                    <xdr:row>53</xdr:row>
                    <xdr:rowOff>0</xdr:rowOff>
                  </to>
                </anchor>
              </controlPr>
            </control>
          </mc:Choice>
        </mc:AlternateContent>
        <mc:AlternateContent xmlns:mc="http://schemas.openxmlformats.org/markup-compatibility/2006">
          <mc:Choice Requires="x14">
            <control shapeId="8228" r:id="rId36" name="Check Box 36">
              <controlPr defaultSize="0" autoFill="0" autoLine="0" autoPict="0">
                <anchor moveWithCells="1">
                  <from>
                    <xdr:col>22</xdr:col>
                    <xdr:colOff>28575</xdr:colOff>
                    <xdr:row>52</xdr:row>
                    <xdr:rowOff>0</xdr:rowOff>
                  </from>
                  <to>
                    <xdr:col>23</xdr:col>
                    <xdr:colOff>66675</xdr:colOff>
                    <xdr:row>53</xdr:row>
                    <xdr:rowOff>0</xdr:rowOff>
                  </to>
                </anchor>
              </controlPr>
            </control>
          </mc:Choice>
        </mc:AlternateContent>
        <mc:AlternateContent xmlns:mc="http://schemas.openxmlformats.org/markup-compatibility/2006">
          <mc:Choice Requires="x14">
            <control shapeId="8229" r:id="rId37" name="Check Box 37">
              <controlPr defaultSize="0" autoFill="0" autoLine="0" autoPict="0">
                <anchor moveWithCells="1">
                  <from>
                    <xdr:col>18</xdr:col>
                    <xdr:colOff>57150</xdr:colOff>
                    <xdr:row>55</xdr:row>
                    <xdr:rowOff>19050</xdr:rowOff>
                  </from>
                  <to>
                    <xdr:col>20</xdr:col>
                    <xdr:colOff>19050</xdr:colOff>
                    <xdr:row>55</xdr:row>
                    <xdr:rowOff>180975</xdr:rowOff>
                  </to>
                </anchor>
              </controlPr>
            </control>
          </mc:Choice>
        </mc:AlternateContent>
        <mc:AlternateContent xmlns:mc="http://schemas.openxmlformats.org/markup-compatibility/2006">
          <mc:Choice Requires="x14">
            <control shapeId="8230" r:id="rId38" name="Check Box 38">
              <controlPr defaultSize="0" autoFill="0" autoLine="0" autoPict="0">
                <anchor moveWithCells="1">
                  <from>
                    <xdr:col>20</xdr:col>
                    <xdr:colOff>57150</xdr:colOff>
                    <xdr:row>55</xdr:row>
                    <xdr:rowOff>0</xdr:rowOff>
                  </from>
                  <to>
                    <xdr:col>22</xdr:col>
                    <xdr:colOff>19050</xdr:colOff>
                    <xdr:row>55</xdr:row>
                    <xdr:rowOff>209550</xdr:rowOff>
                  </to>
                </anchor>
              </controlPr>
            </control>
          </mc:Choice>
        </mc:AlternateContent>
        <mc:AlternateContent xmlns:mc="http://schemas.openxmlformats.org/markup-compatibility/2006">
          <mc:Choice Requires="x14">
            <control shapeId="8231" r:id="rId39" name="Check Box 39">
              <controlPr defaultSize="0" autoFill="0" autoLine="0" autoPict="0">
                <anchor moveWithCells="1">
                  <from>
                    <xdr:col>22</xdr:col>
                    <xdr:colOff>28575</xdr:colOff>
                    <xdr:row>55</xdr:row>
                    <xdr:rowOff>0</xdr:rowOff>
                  </from>
                  <to>
                    <xdr:col>23</xdr:col>
                    <xdr:colOff>66675</xdr:colOff>
                    <xdr:row>55</xdr:row>
                    <xdr:rowOff>209550</xdr:rowOff>
                  </to>
                </anchor>
              </controlPr>
            </control>
          </mc:Choice>
        </mc:AlternateContent>
        <mc:AlternateContent xmlns:mc="http://schemas.openxmlformats.org/markup-compatibility/2006">
          <mc:Choice Requires="x14">
            <control shapeId="8232" r:id="rId40" name="Check Box 40">
              <controlPr defaultSize="0" autoFill="0" autoLine="0" autoPict="0">
                <anchor moveWithCells="1">
                  <from>
                    <xdr:col>18</xdr:col>
                    <xdr:colOff>57150</xdr:colOff>
                    <xdr:row>61</xdr:row>
                    <xdr:rowOff>19050</xdr:rowOff>
                  </from>
                  <to>
                    <xdr:col>20</xdr:col>
                    <xdr:colOff>19050</xdr:colOff>
                    <xdr:row>61</xdr:row>
                    <xdr:rowOff>180975</xdr:rowOff>
                  </to>
                </anchor>
              </controlPr>
            </control>
          </mc:Choice>
        </mc:AlternateContent>
        <mc:AlternateContent xmlns:mc="http://schemas.openxmlformats.org/markup-compatibility/2006">
          <mc:Choice Requires="x14">
            <control shapeId="8233" r:id="rId41" name="Check Box 41">
              <controlPr defaultSize="0" autoFill="0" autoLine="0" autoPict="0">
                <anchor moveWithCells="1">
                  <from>
                    <xdr:col>20</xdr:col>
                    <xdr:colOff>57150</xdr:colOff>
                    <xdr:row>61</xdr:row>
                    <xdr:rowOff>0</xdr:rowOff>
                  </from>
                  <to>
                    <xdr:col>22</xdr:col>
                    <xdr:colOff>19050</xdr:colOff>
                    <xdr:row>61</xdr:row>
                    <xdr:rowOff>209550</xdr:rowOff>
                  </to>
                </anchor>
              </controlPr>
            </control>
          </mc:Choice>
        </mc:AlternateContent>
        <mc:AlternateContent xmlns:mc="http://schemas.openxmlformats.org/markup-compatibility/2006">
          <mc:Choice Requires="x14">
            <control shapeId="8234" r:id="rId42" name="Check Box 42">
              <controlPr defaultSize="0" autoFill="0" autoLine="0" autoPict="0">
                <anchor moveWithCells="1">
                  <from>
                    <xdr:col>22</xdr:col>
                    <xdr:colOff>28575</xdr:colOff>
                    <xdr:row>61</xdr:row>
                    <xdr:rowOff>0</xdr:rowOff>
                  </from>
                  <to>
                    <xdr:col>23</xdr:col>
                    <xdr:colOff>66675</xdr:colOff>
                    <xdr:row>61</xdr:row>
                    <xdr:rowOff>209550</xdr:rowOff>
                  </to>
                </anchor>
              </controlPr>
            </control>
          </mc:Choice>
        </mc:AlternateContent>
        <mc:AlternateContent xmlns:mc="http://schemas.openxmlformats.org/markup-compatibility/2006">
          <mc:Choice Requires="x14">
            <control shapeId="8236" r:id="rId43" name="Check Box 44">
              <controlPr defaultSize="0" autoFill="0" autoLine="0" autoPict="0">
                <anchor moveWithCells="1">
                  <from>
                    <xdr:col>18</xdr:col>
                    <xdr:colOff>57150</xdr:colOff>
                    <xdr:row>63</xdr:row>
                    <xdr:rowOff>19050</xdr:rowOff>
                  </from>
                  <to>
                    <xdr:col>20</xdr:col>
                    <xdr:colOff>19050</xdr:colOff>
                    <xdr:row>63</xdr:row>
                    <xdr:rowOff>180975</xdr:rowOff>
                  </to>
                </anchor>
              </controlPr>
            </control>
          </mc:Choice>
        </mc:AlternateContent>
        <mc:AlternateContent xmlns:mc="http://schemas.openxmlformats.org/markup-compatibility/2006">
          <mc:Choice Requires="x14">
            <control shapeId="8237" r:id="rId44" name="Check Box 45">
              <controlPr defaultSize="0" autoFill="0" autoLine="0" autoPict="0">
                <anchor moveWithCells="1">
                  <from>
                    <xdr:col>20</xdr:col>
                    <xdr:colOff>57150</xdr:colOff>
                    <xdr:row>63</xdr:row>
                    <xdr:rowOff>0</xdr:rowOff>
                  </from>
                  <to>
                    <xdr:col>22</xdr:col>
                    <xdr:colOff>19050</xdr:colOff>
                    <xdr:row>63</xdr:row>
                    <xdr:rowOff>209550</xdr:rowOff>
                  </to>
                </anchor>
              </controlPr>
            </control>
          </mc:Choice>
        </mc:AlternateContent>
        <mc:AlternateContent xmlns:mc="http://schemas.openxmlformats.org/markup-compatibility/2006">
          <mc:Choice Requires="x14">
            <control shapeId="8238" r:id="rId45" name="Check Box 46">
              <controlPr defaultSize="0" autoFill="0" autoLine="0" autoPict="0">
                <anchor moveWithCells="1">
                  <from>
                    <xdr:col>22</xdr:col>
                    <xdr:colOff>28575</xdr:colOff>
                    <xdr:row>63</xdr:row>
                    <xdr:rowOff>0</xdr:rowOff>
                  </from>
                  <to>
                    <xdr:col>23</xdr:col>
                    <xdr:colOff>66675</xdr:colOff>
                    <xdr:row>63</xdr:row>
                    <xdr:rowOff>209550</xdr:rowOff>
                  </to>
                </anchor>
              </controlPr>
            </control>
          </mc:Choice>
        </mc:AlternateContent>
        <mc:AlternateContent xmlns:mc="http://schemas.openxmlformats.org/markup-compatibility/2006">
          <mc:Choice Requires="x14">
            <control shapeId="8240" r:id="rId46" name="Check Box 48">
              <controlPr defaultSize="0" autoFill="0" autoLine="0" autoPict="0">
                <anchor moveWithCells="1">
                  <from>
                    <xdr:col>19</xdr:col>
                    <xdr:colOff>19050</xdr:colOff>
                    <xdr:row>10</xdr:row>
                    <xdr:rowOff>57150</xdr:rowOff>
                  </from>
                  <to>
                    <xdr:col>22</xdr:col>
                    <xdr:colOff>28575</xdr:colOff>
                    <xdr:row>12</xdr:row>
                    <xdr:rowOff>57150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3" tint="0.749992370372631"/>
  </sheetPr>
  <dimension ref="D1:AC155"/>
  <sheetViews>
    <sheetView showGridLines="0" tabSelected="1" zoomScaleNormal="100" workbookViewId="0">
      <selection activeCell="M37" sqref="M37:N37"/>
    </sheetView>
  </sheetViews>
  <sheetFormatPr defaultColWidth="9.140625" defaultRowHeight="15" x14ac:dyDescent="0.25"/>
  <cols>
    <col min="1" max="2" width="9.140625" style="3"/>
    <col min="3" max="3" width="31.7109375" style="3" customWidth="1"/>
    <col min="4" max="4" width="4.7109375" style="3" customWidth="1"/>
    <col min="5" max="5" width="8" style="3" customWidth="1"/>
    <col min="6" max="6" width="15.85546875" style="3" customWidth="1"/>
    <col min="7" max="7" width="3" style="3" customWidth="1"/>
    <col min="8" max="8" width="8.140625" style="3" customWidth="1"/>
    <col min="9" max="9" width="8.28515625" style="3" customWidth="1"/>
    <col min="10" max="10" width="1" style="3" customWidth="1"/>
    <col min="11" max="11" width="2.7109375" style="3" customWidth="1"/>
    <col min="12" max="12" width="10.85546875" style="3" customWidth="1"/>
    <col min="13" max="13" width="2.7109375" style="3" customWidth="1"/>
    <col min="14" max="14" width="8" style="3" customWidth="1"/>
    <col min="15" max="15" width="10.140625" style="3" customWidth="1"/>
    <col min="16" max="16" width="3" style="3" customWidth="1"/>
    <col min="17" max="17" width="7.42578125" style="3" customWidth="1"/>
    <col min="18" max="18" width="1.140625" style="3" customWidth="1"/>
    <col min="19" max="19" width="7.42578125" style="3" customWidth="1"/>
    <col min="20" max="20" width="9.42578125" style="3" customWidth="1"/>
    <col min="21" max="16384" width="9.140625" style="3"/>
  </cols>
  <sheetData>
    <row r="1" spans="4:20" s="6" customFormat="1" ht="13.5" x14ac:dyDescent="0.25"/>
    <row r="2" spans="4:20" s="6" customFormat="1" ht="15.75" x14ac:dyDescent="0.25">
      <c r="D2" s="634" t="s">
        <v>291</v>
      </c>
      <c r="E2" s="634"/>
      <c r="F2" s="635"/>
      <c r="G2" s="17"/>
      <c r="H2" s="17"/>
      <c r="I2" s="17"/>
      <c r="J2" s="17"/>
      <c r="K2" s="17"/>
      <c r="L2" s="17"/>
      <c r="M2" s="17"/>
      <c r="N2" s="17"/>
      <c r="O2" s="17"/>
      <c r="P2" s="17"/>
      <c r="Q2" s="181"/>
      <c r="R2" s="17"/>
      <c r="S2" s="17"/>
      <c r="T2" s="17"/>
    </row>
    <row r="3" spans="4:20" s="6" customFormat="1" ht="15.75" customHeight="1" x14ac:dyDescent="0.25">
      <c r="D3" s="245"/>
      <c r="E3" s="245"/>
      <c r="F3" s="246"/>
      <c r="G3" s="17"/>
      <c r="H3" s="607" t="s">
        <v>196</v>
      </c>
      <c r="I3" s="607"/>
      <c r="J3" s="607"/>
      <c r="K3" s="607"/>
      <c r="L3" s="607"/>
      <c r="M3" s="607"/>
      <c r="N3" s="607"/>
      <c r="O3" s="607"/>
      <c r="P3" s="17"/>
      <c r="Q3" s="609" t="s">
        <v>1240</v>
      </c>
      <c r="R3" s="610"/>
      <c r="S3" s="610"/>
      <c r="T3" s="610"/>
    </row>
    <row r="4" spans="4:20" s="6" customFormat="1" ht="22.5" customHeight="1" x14ac:dyDescent="0.25">
      <c r="D4" s="645"/>
      <c r="E4" s="645"/>
      <c r="F4" s="646"/>
      <c r="G4" s="17"/>
      <c r="H4" s="650" t="s">
        <v>294</v>
      </c>
      <c r="I4" s="650"/>
      <c r="J4" s="650"/>
      <c r="K4" s="650"/>
      <c r="L4" s="650"/>
      <c r="M4" s="650"/>
      <c r="N4" s="650"/>
      <c r="O4" s="650"/>
      <c r="P4" s="21"/>
      <c r="Q4" s="647"/>
      <c r="R4" s="648"/>
      <c r="S4" s="648"/>
      <c r="T4" s="648"/>
    </row>
    <row r="5" spans="4:20" s="6" customFormat="1" ht="14.45" customHeight="1" x14ac:dyDescent="0.25">
      <c r="D5" s="645"/>
      <c r="E5" s="645"/>
      <c r="F5" s="646"/>
      <c r="G5" s="17"/>
      <c r="H5" s="650"/>
      <c r="I5" s="650"/>
      <c r="J5" s="650"/>
      <c r="K5" s="650"/>
      <c r="L5" s="650"/>
      <c r="M5" s="650"/>
      <c r="N5" s="650"/>
      <c r="O5" s="650"/>
      <c r="P5" s="22"/>
      <c r="Q5" s="418">
        <v>2024</v>
      </c>
      <c r="R5" s="419"/>
      <c r="S5" s="419"/>
      <c r="T5" s="419"/>
    </row>
    <row r="6" spans="4:20" s="6" customFormat="1" ht="13.9" customHeight="1" x14ac:dyDescent="0.25">
      <c r="D6" s="645"/>
      <c r="E6" s="645"/>
      <c r="F6" s="646"/>
      <c r="G6" s="17"/>
      <c r="H6" s="649" t="s">
        <v>1246</v>
      </c>
      <c r="I6" s="649"/>
      <c r="J6" s="649"/>
      <c r="K6" s="649"/>
      <c r="L6" s="649"/>
      <c r="M6" s="649"/>
      <c r="N6" s="649"/>
      <c r="O6" s="649"/>
      <c r="P6" s="23"/>
      <c r="Q6" s="418"/>
      <c r="R6" s="419"/>
      <c r="S6" s="419"/>
      <c r="T6" s="419"/>
    </row>
    <row r="7" spans="4:20" s="6" customFormat="1" ht="15" customHeight="1" thickBot="1" x14ac:dyDescent="0.3">
      <c r="D7" s="24"/>
      <c r="E7" s="25"/>
      <c r="F7" s="26"/>
      <c r="G7" s="25"/>
      <c r="H7" s="325"/>
      <c r="I7" s="325"/>
      <c r="J7" s="325"/>
      <c r="K7" s="325"/>
      <c r="L7" s="325"/>
      <c r="M7" s="325"/>
      <c r="N7" s="325"/>
      <c r="O7" s="325"/>
      <c r="P7" s="27"/>
      <c r="Q7" s="423" t="s">
        <v>1</v>
      </c>
      <c r="R7" s="424"/>
      <c r="S7" s="424"/>
      <c r="T7" s="424"/>
    </row>
    <row r="8" spans="4:20" s="6" customFormat="1" ht="4.1500000000000004" customHeight="1" x14ac:dyDescent="0.25">
      <c r="D8" s="17"/>
      <c r="E8" s="17"/>
      <c r="F8" s="17"/>
      <c r="G8" s="17"/>
      <c r="H8" s="17"/>
      <c r="I8" s="17"/>
      <c r="J8" s="17"/>
      <c r="K8" s="17"/>
      <c r="L8" s="17"/>
      <c r="M8" s="17"/>
      <c r="N8" s="17"/>
      <c r="O8" s="17"/>
      <c r="P8" s="17"/>
      <c r="Q8" s="17"/>
      <c r="R8" s="17"/>
      <c r="S8" s="17"/>
      <c r="T8" s="17"/>
    </row>
    <row r="9" spans="4:20" s="6" customFormat="1" ht="16.899999999999999" customHeight="1" x14ac:dyDescent="0.25">
      <c r="D9" s="430" t="s">
        <v>2</v>
      </c>
      <c r="E9" s="431"/>
      <c r="F9" s="516"/>
      <c r="G9" s="566"/>
      <c r="H9" s="566"/>
      <c r="I9" s="517"/>
      <c r="J9" s="17"/>
      <c r="K9" s="17"/>
      <c r="L9" s="17"/>
      <c r="M9" s="17"/>
      <c r="N9" s="17"/>
      <c r="O9" s="32" t="s">
        <v>3</v>
      </c>
      <c r="P9" s="29"/>
      <c r="Q9" s="20" t="s">
        <v>4</v>
      </c>
      <c r="R9" s="20"/>
      <c r="S9" s="516"/>
      <c r="T9" s="517"/>
    </row>
    <row r="10" spans="4:20" s="6" customFormat="1" ht="7.15" customHeight="1" x14ac:dyDescent="0.25">
      <c r="D10" s="427"/>
      <c r="E10" s="427"/>
      <c r="F10" s="427"/>
      <c r="G10" s="427"/>
      <c r="H10" s="427"/>
      <c r="I10" s="427"/>
      <c r="J10" s="17"/>
      <c r="K10" s="17"/>
      <c r="L10" s="17"/>
      <c r="M10" s="17"/>
      <c r="N10" s="17"/>
      <c r="O10" s="17"/>
      <c r="P10" s="17"/>
      <c r="Q10" s="427"/>
      <c r="R10" s="427"/>
      <c r="S10" s="427"/>
      <c r="T10" s="17"/>
    </row>
    <row r="11" spans="4:20" s="6" customFormat="1" ht="16.899999999999999" customHeight="1" x14ac:dyDescent="0.25">
      <c r="D11" s="430" t="s">
        <v>118</v>
      </c>
      <c r="E11" s="431"/>
      <c r="F11" s="516"/>
      <c r="G11" s="566"/>
      <c r="H11" s="566"/>
      <c r="I11" s="566"/>
      <c r="J11" s="517"/>
      <c r="K11" s="20"/>
      <c r="L11" s="17"/>
      <c r="M11" s="20"/>
      <c r="N11" s="20"/>
      <c r="O11" s="17"/>
      <c r="P11" s="17"/>
      <c r="Q11" s="17"/>
      <c r="R11" s="17"/>
      <c r="S11" s="17"/>
      <c r="T11" s="17"/>
    </row>
    <row r="12" spans="4:20" s="6" customFormat="1" ht="5.25" customHeight="1" thickBot="1" x14ac:dyDescent="0.3">
      <c r="D12" s="33"/>
      <c r="E12" s="33"/>
      <c r="F12" s="33"/>
      <c r="G12" s="33"/>
      <c r="H12" s="33"/>
      <c r="I12" s="33"/>
      <c r="J12" s="33"/>
      <c r="K12" s="33"/>
      <c r="L12" s="25"/>
      <c r="M12" s="28"/>
      <c r="N12" s="28"/>
      <c r="O12" s="25"/>
      <c r="P12" s="25"/>
      <c r="Q12" s="25"/>
      <c r="R12" s="25"/>
      <c r="S12" s="25"/>
      <c r="T12" s="25"/>
    </row>
    <row r="13" spans="4:20" s="6" customFormat="1" ht="27.75" customHeight="1" x14ac:dyDescent="0.25">
      <c r="D13" s="651" t="s">
        <v>296</v>
      </c>
      <c r="E13" s="651"/>
      <c r="F13" s="651"/>
      <c r="G13" s="651"/>
      <c r="H13" s="651"/>
      <c r="I13" s="651"/>
      <c r="J13" s="651"/>
      <c r="K13" s="651"/>
      <c r="L13" s="651"/>
      <c r="M13" s="651"/>
      <c r="N13" s="651"/>
      <c r="O13" s="651"/>
      <c r="P13" s="651"/>
      <c r="Q13" s="651"/>
      <c r="R13" s="651"/>
      <c r="S13" s="651"/>
      <c r="T13" s="651"/>
    </row>
    <row r="14" spans="4:20" s="6" customFormat="1" ht="5.45" customHeight="1" x14ac:dyDescent="0.25">
      <c r="D14" s="577"/>
      <c r="E14" s="577"/>
      <c r="F14" s="577"/>
      <c r="G14" s="577"/>
      <c r="H14" s="577"/>
      <c r="I14" s="577"/>
      <c r="J14" s="577"/>
      <c r="K14" s="577"/>
      <c r="L14" s="577"/>
      <c r="M14" s="577"/>
      <c r="N14" s="577"/>
      <c r="O14" s="577"/>
      <c r="P14" s="577"/>
      <c r="Q14" s="577"/>
      <c r="R14" s="577"/>
      <c r="S14" s="577"/>
      <c r="T14" s="577"/>
    </row>
    <row r="15" spans="4:20" s="6" customFormat="1" ht="3.6" customHeight="1" thickBot="1" x14ac:dyDescent="0.3">
      <c r="D15" s="17"/>
      <c r="E15" s="17"/>
      <c r="F15" s="17"/>
      <c r="G15" s="17"/>
      <c r="H15" s="17"/>
      <c r="I15" s="17"/>
      <c r="J15" s="17"/>
      <c r="K15" s="17"/>
      <c r="L15" s="17"/>
      <c r="M15" s="17"/>
      <c r="N15" s="17"/>
      <c r="O15" s="17"/>
      <c r="P15" s="17"/>
      <c r="Q15" s="17"/>
      <c r="R15" s="17"/>
      <c r="S15" s="17"/>
      <c r="T15" s="17"/>
    </row>
    <row r="16" spans="4:20" s="6" customFormat="1" ht="3.6" customHeight="1" x14ac:dyDescent="0.25">
      <c r="D16" s="42"/>
      <c r="E16" s="42"/>
      <c r="F16" s="42"/>
      <c r="G16" s="42"/>
      <c r="H16" s="42"/>
      <c r="I16" s="42"/>
      <c r="J16" s="42"/>
      <c r="K16" s="42"/>
      <c r="L16" s="42"/>
      <c r="M16" s="42"/>
      <c r="N16" s="42"/>
      <c r="O16" s="42"/>
      <c r="P16" s="42"/>
      <c r="Q16" s="42"/>
      <c r="R16" s="42"/>
      <c r="S16" s="42"/>
      <c r="T16" s="42"/>
    </row>
    <row r="17" spans="4:20" s="6" customFormat="1" ht="16.899999999999999" customHeight="1" x14ac:dyDescent="0.25">
      <c r="D17" s="514" t="s">
        <v>220</v>
      </c>
      <c r="E17" s="514"/>
      <c r="F17" s="514"/>
      <c r="G17" s="514"/>
      <c r="H17" s="514"/>
      <c r="I17" s="514"/>
      <c r="J17" s="203"/>
      <c r="K17" s="138"/>
      <c r="L17" s="102" t="s">
        <v>221</v>
      </c>
      <c r="M17" s="138"/>
      <c r="N17" s="108" t="s">
        <v>222</v>
      </c>
      <c r="O17" s="102"/>
      <c r="P17" s="138"/>
      <c r="Q17" s="102" t="s">
        <v>223</v>
      </c>
      <c r="R17" s="102"/>
      <c r="S17" s="102"/>
      <c r="T17" s="17"/>
    </row>
    <row r="18" spans="4:20" s="6" customFormat="1" ht="4.9000000000000004" customHeight="1" x14ac:dyDescent="0.25">
      <c r="D18" s="652"/>
      <c r="E18" s="652"/>
      <c r="F18" s="652"/>
      <c r="G18" s="652"/>
      <c r="H18" s="652"/>
      <c r="I18" s="652"/>
      <c r="J18" s="652"/>
      <c r="K18" s="652"/>
      <c r="L18" s="652"/>
      <c r="M18" s="652"/>
      <c r="N18" s="652"/>
      <c r="O18" s="652"/>
      <c r="P18" s="652"/>
      <c r="Q18" s="652"/>
      <c r="R18" s="652"/>
      <c r="S18" s="652"/>
      <c r="T18" s="652"/>
    </row>
    <row r="19" spans="4:20" s="6" customFormat="1" ht="13.9" customHeight="1" x14ac:dyDescent="0.25">
      <c r="D19" s="130">
        <v>1</v>
      </c>
      <c r="E19" s="653" t="s">
        <v>224</v>
      </c>
      <c r="F19" s="653"/>
      <c r="G19" s="653"/>
      <c r="H19" s="653"/>
      <c r="I19" s="653"/>
      <c r="J19" s="653"/>
      <c r="K19" s="653"/>
      <c r="L19" s="653"/>
      <c r="M19" s="653"/>
      <c r="N19" s="653"/>
      <c r="O19" s="653"/>
      <c r="P19" s="653"/>
      <c r="Q19" s="653"/>
      <c r="R19" s="225"/>
      <c r="S19" s="130">
        <v>1</v>
      </c>
      <c r="T19" s="129" t="s">
        <v>169</v>
      </c>
    </row>
    <row r="20" spans="4:20" s="6" customFormat="1" ht="13.9" customHeight="1" x14ac:dyDescent="0.25">
      <c r="D20" s="130"/>
      <c r="E20" s="653"/>
      <c r="F20" s="653"/>
      <c r="G20" s="653"/>
      <c r="H20" s="653"/>
      <c r="I20" s="653"/>
      <c r="J20" s="653"/>
      <c r="K20" s="653"/>
      <c r="L20" s="653"/>
      <c r="M20" s="653"/>
      <c r="N20" s="653"/>
      <c r="O20" s="653"/>
      <c r="P20" s="653"/>
      <c r="Q20" s="653"/>
      <c r="R20" s="225"/>
      <c r="S20" s="130"/>
      <c r="T20" s="130"/>
    </row>
    <row r="21" spans="4:20" s="6" customFormat="1" ht="6" customHeight="1" x14ac:dyDescent="0.25">
      <c r="D21" s="29"/>
      <c r="E21" s="29"/>
      <c r="F21" s="20"/>
      <c r="G21" s="20"/>
      <c r="H21" s="20"/>
      <c r="I21" s="20"/>
      <c r="J21" s="20"/>
      <c r="K21" s="20"/>
      <c r="L21" s="17"/>
      <c r="M21" s="20"/>
      <c r="N21" s="20"/>
      <c r="O21" s="17"/>
      <c r="P21" s="17"/>
      <c r="Q21" s="17"/>
      <c r="R21" s="17"/>
      <c r="S21" s="17"/>
      <c r="T21" s="17"/>
    </row>
    <row r="22" spans="4:20" s="6" customFormat="1" ht="13.9" customHeight="1" x14ac:dyDescent="0.25">
      <c r="D22" s="130">
        <v>2</v>
      </c>
      <c r="E22" s="654" t="s">
        <v>225</v>
      </c>
      <c r="F22" s="654"/>
      <c r="G22" s="654"/>
      <c r="H22" s="654"/>
      <c r="I22" s="654"/>
      <c r="J22" s="654"/>
      <c r="K22" s="654"/>
      <c r="L22" s="654"/>
      <c r="M22" s="654"/>
      <c r="N22" s="654"/>
      <c r="O22" s="654"/>
      <c r="P22" s="654"/>
      <c r="Q22" s="654"/>
      <c r="R22" s="226"/>
      <c r="S22" s="130">
        <v>2</v>
      </c>
      <c r="T22" s="129" t="s">
        <v>169</v>
      </c>
    </row>
    <row r="23" spans="4:20" s="6" customFormat="1" ht="6" customHeight="1" x14ac:dyDescent="0.25">
      <c r="D23" s="29"/>
      <c r="E23" s="29"/>
      <c r="F23" s="20"/>
      <c r="G23" s="20"/>
      <c r="H23" s="20"/>
      <c r="I23" s="20"/>
      <c r="J23" s="20"/>
      <c r="K23" s="20"/>
      <c r="L23" s="17"/>
      <c r="M23" s="20"/>
      <c r="N23" s="20"/>
      <c r="O23" s="17"/>
      <c r="P23" s="17"/>
      <c r="Q23" s="17"/>
      <c r="R23" s="17"/>
      <c r="S23" s="17"/>
      <c r="T23" s="17"/>
    </row>
    <row r="24" spans="4:20" s="6" customFormat="1" ht="13.9" customHeight="1" x14ac:dyDescent="0.25">
      <c r="D24" s="130">
        <v>3</v>
      </c>
      <c r="E24" s="645" t="s">
        <v>226</v>
      </c>
      <c r="F24" s="645"/>
      <c r="G24" s="645"/>
      <c r="H24" s="645"/>
      <c r="I24" s="645"/>
      <c r="J24" s="645"/>
      <c r="K24" s="645"/>
      <c r="L24" s="645"/>
      <c r="M24" s="645"/>
      <c r="N24" s="645"/>
      <c r="O24" s="645"/>
      <c r="P24" s="645"/>
      <c r="Q24" s="645"/>
      <c r="R24" s="224"/>
      <c r="S24" s="130">
        <v>3</v>
      </c>
      <c r="T24" s="129" t="s">
        <v>169</v>
      </c>
    </row>
    <row r="25" spans="4:20" s="6" customFormat="1" ht="30.75" customHeight="1" x14ac:dyDescent="0.25">
      <c r="D25" s="130"/>
      <c r="E25" s="645"/>
      <c r="F25" s="645"/>
      <c r="G25" s="645"/>
      <c r="H25" s="645"/>
      <c r="I25" s="645"/>
      <c r="J25" s="645"/>
      <c r="K25" s="645"/>
      <c r="L25" s="645"/>
      <c r="M25" s="645"/>
      <c r="N25" s="645"/>
      <c r="O25" s="645"/>
      <c r="P25" s="645"/>
      <c r="Q25" s="645"/>
      <c r="R25" s="224"/>
      <c r="S25" s="130"/>
      <c r="T25" s="130"/>
    </row>
    <row r="26" spans="4:20" s="6" customFormat="1" ht="7.15" customHeight="1" thickBot="1" x14ac:dyDescent="0.3">
      <c r="D26" s="130"/>
      <c r="E26" s="131"/>
      <c r="F26" s="131"/>
      <c r="G26" s="131"/>
      <c r="H26" s="131"/>
      <c r="I26" s="131"/>
      <c r="J26" s="131"/>
      <c r="K26" s="131"/>
      <c r="L26" s="131"/>
      <c r="M26" s="131"/>
      <c r="N26" s="131"/>
      <c r="O26" s="131"/>
      <c r="P26" s="131"/>
      <c r="Q26" s="131"/>
      <c r="R26" s="131"/>
      <c r="S26" s="130"/>
      <c r="T26" s="130"/>
    </row>
    <row r="27" spans="4:20" s="6" customFormat="1" ht="20.45" customHeight="1" thickBot="1" x14ac:dyDescent="0.3">
      <c r="D27" s="401" t="s">
        <v>121</v>
      </c>
      <c r="E27" s="402"/>
      <c r="F27" s="403" t="s">
        <v>227</v>
      </c>
      <c r="G27" s="404"/>
      <c r="H27" s="404"/>
      <c r="I27" s="404"/>
      <c r="J27" s="404"/>
      <c r="K27" s="404"/>
      <c r="L27" s="404"/>
      <c r="M27" s="404"/>
      <c r="N27" s="404"/>
      <c r="O27" s="404"/>
      <c r="P27" s="404"/>
      <c r="Q27" s="404"/>
      <c r="R27" s="404"/>
      <c r="S27" s="404"/>
      <c r="T27" s="405"/>
    </row>
    <row r="28" spans="4:20" s="6" customFormat="1" ht="5.45" customHeight="1" x14ac:dyDescent="0.25">
      <c r="D28" s="44"/>
      <c r="E28" s="45"/>
      <c r="F28" s="46"/>
      <c r="G28" s="46"/>
      <c r="H28" s="46"/>
      <c r="I28" s="46"/>
      <c r="J28" s="47"/>
      <c r="K28" s="47"/>
      <c r="L28" s="47"/>
      <c r="M28" s="47"/>
      <c r="N28" s="47"/>
      <c r="O28" s="47"/>
      <c r="P28" s="47"/>
      <c r="Q28" s="47"/>
      <c r="R28" s="47"/>
      <c r="S28" s="47"/>
      <c r="T28" s="47"/>
    </row>
    <row r="29" spans="4:20" s="6" customFormat="1" ht="15" customHeight="1" x14ac:dyDescent="0.25">
      <c r="D29" s="136">
        <v>4</v>
      </c>
      <c r="E29" s="655" t="s">
        <v>228</v>
      </c>
      <c r="F29" s="655"/>
      <c r="G29" s="655"/>
      <c r="H29" s="655"/>
      <c r="I29" s="655"/>
      <c r="J29" s="655"/>
      <c r="K29" s="655"/>
      <c r="L29" s="655"/>
      <c r="M29" s="655"/>
      <c r="N29" s="655"/>
      <c r="O29" s="655"/>
      <c r="P29" s="655"/>
      <c r="Q29" s="655"/>
      <c r="R29" s="223"/>
      <c r="S29" s="137">
        <v>4</v>
      </c>
      <c r="T29" s="326"/>
    </row>
    <row r="30" spans="4:20" s="6" customFormat="1" ht="6" customHeight="1" x14ac:dyDescent="0.25">
      <c r="D30" s="29"/>
      <c r="E30" s="29"/>
      <c r="F30" s="20"/>
      <c r="G30" s="20"/>
      <c r="H30" s="20"/>
      <c r="I30" s="20"/>
      <c r="J30" s="20"/>
      <c r="K30" s="20"/>
      <c r="L30" s="17"/>
      <c r="M30" s="20"/>
      <c r="N30" s="20"/>
      <c r="O30" s="17"/>
      <c r="P30" s="17"/>
      <c r="Q30" s="17"/>
      <c r="R30" s="17"/>
      <c r="S30" s="17"/>
      <c r="T30" s="17"/>
    </row>
    <row r="31" spans="4:20" s="6" customFormat="1" ht="17.45" customHeight="1" x14ac:dyDescent="0.25">
      <c r="D31" s="136">
        <v>5</v>
      </c>
      <c r="E31" s="655" t="s">
        <v>229</v>
      </c>
      <c r="F31" s="655"/>
      <c r="G31" s="655"/>
      <c r="H31" s="655"/>
      <c r="I31" s="655"/>
      <c r="J31" s="655"/>
      <c r="K31" s="655"/>
      <c r="L31" s="655"/>
      <c r="M31" s="655"/>
      <c r="N31" s="655"/>
      <c r="O31" s="655"/>
      <c r="P31" s="655"/>
      <c r="Q31" s="655"/>
      <c r="R31" s="223"/>
      <c r="S31" s="137">
        <v>5</v>
      </c>
      <c r="T31" s="326"/>
    </row>
    <row r="32" spans="4:20" ht="5.45" customHeight="1" x14ac:dyDescent="0.25">
      <c r="D32" s="139"/>
      <c r="E32" s="183"/>
      <c r="F32" s="183"/>
      <c r="G32" s="183"/>
      <c r="H32" s="183"/>
      <c r="I32" s="183"/>
      <c r="J32" s="183"/>
      <c r="K32" s="183"/>
      <c r="L32" s="183"/>
      <c r="M32" s="183"/>
      <c r="N32" s="183"/>
      <c r="O32" s="183"/>
      <c r="P32" s="183"/>
      <c r="Q32" s="183"/>
      <c r="R32" s="183"/>
      <c r="S32" s="140"/>
      <c r="T32" s="140"/>
    </row>
    <row r="33" spans="4:20" ht="48.75" customHeight="1" thickBot="1" x14ac:dyDescent="0.3">
      <c r="D33" s="656" t="s">
        <v>410</v>
      </c>
      <c r="E33" s="656"/>
      <c r="F33" s="656"/>
      <c r="G33" s="656"/>
      <c r="H33" s="656"/>
      <c r="I33" s="656"/>
      <c r="J33" s="656"/>
      <c r="K33" s="656"/>
      <c r="L33" s="656"/>
      <c r="M33" s="656"/>
      <c r="N33" s="656"/>
      <c r="O33" s="656"/>
      <c r="P33" s="656"/>
      <c r="Q33" s="656"/>
      <c r="R33" s="656"/>
      <c r="S33" s="656"/>
      <c r="T33" s="656"/>
    </row>
    <row r="34" spans="4:20" ht="5.45" customHeight="1" thickTop="1" thickBot="1" x14ac:dyDescent="0.3">
      <c r="D34" s="48"/>
      <c r="E34" s="48"/>
      <c r="F34" s="48"/>
      <c r="G34" s="48"/>
      <c r="H34" s="48"/>
      <c r="I34" s="48"/>
      <c r="J34" s="48"/>
      <c r="K34" s="48"/>
      <c r="L34" s="48"/>
      <c r="M34" s="48"/>
      <c r="N34" s="48"/>
      <c r="O34" s="48"/>
      <c r="P34" s="48"/>
      <c r="Q34" s="48"/>
      <c r="R34" s="48"/>
      <c r="S34" s="48"/>
      <c r="T34" s="48"/>
    </row>
    <row r="35" spans="4:20" ht="28.15" customHeight="1" thickTop="1" thickBot="1" x14ac:dyDescent="0.3">
      <c r="D35" s="638" t="s">
        <v>230</v>
      </c>
      <c r="E35" s="639"/>
      <c r="F35" s="639"/>
      <c r="G35" s="639"/>
      <c r="H35" s="639"/>
      <c r="I35" s="640"/>
      <c r="J35" s="608"/>
      <c r="K35" s="631" t="s">
        <v>231</v>
      </c>
      <c r="L35" s="632"/>
      <c r="M35" s="632"/>
      <c r="N35" s="632"/>
      <c r="O35" s="632"/>
      <c r="P35" s="632"/>
      <c r="Q35" s="632"/>
      <c r="R35" s="236"/>
      <c r="S35" s="641" t="s">
        <v>281</v>
      </c>
      <c r="T35" s="637"/>
    </row>
    <row r="36" spans="4:20" ht="33" customHeight="1" x14ac:dyDescent="0.25">
      <c r="D36" s="204" t="s">
        <v>232</v>
      </c>
      <c r="E36" s="205" t="s">
        <v>233</v>
      </c>
      <c r="F36" s="642" t="s">
        <v>234</v>
      </c>
      <c r="G36" s="643"/>
      <c r="H36" s="643"/>
      <c r="I36" s="644"/>
      <c r="J36" s="608"/>
      <c r="K36" s="625" t="s">
        <v>283</v>
      </c>
      <c r="L36" s="626"/>
      <c r="M36" s="626" t="s">
        <v>235</v>
      </c>
      <c r="N36" s="626"/>
      <c r="O36" s="210" t="s">
        <v>236</v>
      </c>
      <c r="P36" s="626" t="s">
        <v>280</v>
      </c>
      <c r="Q36" s="627"/>
      <c r="R36" s="235"/>
      <c r="S36" s="234" t="s">
        <v>282</v>
      </c>
      <c r="T36" s="211" t="s">
        <v>237</v>
      </c>
    </row>
    <row r="37" spans="4:20" x14ac:dyDescent="0.25">
      <c r="D37" s="206">
        <v>1</v>
      </c>
      <c r="E37" s="207"/>
      <c r="F37" s="604"/>
      <c r="G37" s="605"/>
      <c r="H37" s="605"/>
      <c r="I37" s="606"/>
      <c r="J37" s="608"/>
      <c r="K37" s="601" t="s">
        <v>169</v>
      </c>
      <c r="L37" s="602"/>
      <c r="M37" s="925"/>
      <c r="N37" s="926"/>
      <c r="O37" s="927"/>
      <c r="P37" s="603" t="s">
        <v>169</v>
      </c>
      <c r="Q37" s="602"/>
      <c r="R37" s="237"/>
      <c r="S37" s="242" t="s">
        <v>169</v>
      </c>
      <c r="T37" s="240" t="s">
        <v>169</v>
      </c>
    </row>
    <row r="38" spans="4:20" x14ac:dyDescent="0.25">
      <c r="D38" s="206">
        <v>2</v>
      </c>
      <c r="E38" s="207"/>
      <c r="F38" s="604"/>
      <c r="G38" s="605"/>
      <c r="H38" s="605"/>
      <c r="I38" s="606"/>
      <c r="J38" s="608"/>
      <c r="K38" s="601" t="s">
        <v>169</v>
      </c>
      <c r="L38" s="602"/>
      <c r="M38" s="925"/>
      <c r="N38" s="926"/>
      <c r="O38" s="927"/>
      <c r="P38" s="603" t="s">
        <v>169</v>
      </c>
      <c r="Q38" s="602"/>
      <c r="R38" s="237"/>
      <c r="S38" s="242" t="s">
        <v>169</v>
      </c>
      <c r="T38" s="240" t="s">
        <v>169</v>
      </c>
    </row>
    <row r="39" spans="4:20" x14ac:dyDescent="0.25">
      <c r="D39" s="206">
        <v>3</v>
      </c>
      <c r="E39" s="207"/>
      <c r="F39" s="604"/>
      <c r="G39" s="605"/>
      <c r="H39" s="605"/>
      <c r="I39" s="606"/>
      <c r="J39" s="608"/>
      <c r="K39" s="601" t="s">
        <v>169</v>
      </c>
      <c r="L39" s="602"/>
      <c r="M39" s="925"/>
      <c r="N39" s="926"/>
      <c r="O39" s="927"/>
      <c r="P39" s="603" t="s">
        <v>169</v>
      </c>
      <c r="Q39" s="602"/>
      <c r="R39" s="237"/>
      <c r="S39" s="242" t="s">
        <v>169</v>
      </c>
      <c r="T39" s="240" t="s">
        <v>169</v>
      </c>
    </row>
    <row r="40" spans="4:20" x14ac:dyDescent="0.25">
      <c r="D40" s="206">
        <v>4</v>
      </c>
      <c r="E40" s="207"/>
      <c r="F40" s="604"/>
      <c r="G40" s="605"/>
      <c r="H40" s="605"/>
      <c r="I40" s="606"/>
      <c r="J40" s="608"/>
      <c r="K40" s="601" t="s">
        <v>169</v>
      </c>
      <c r="L40" s="602"/>
      <c r="M40" s="925"/>
      <c r="N40" s="926"/>
      <c r="O40" s="927"/>
      <c r="P40" s="603" t="s">
        <v>169</v>
      </c>
      <c r="Q40" s="602"/>
      <c r="R40" s="237"/>
      <c r="S40" s="242" t="s">
        <v>169</v>
      </c>
      <c r="T40" s="240" t="s">
        <v>169</v>
      </c>
    </row>
    <row r="41" spans="4:20" x14ac:dyDescent="0.25">
      <c r="D41" s="206">
        <v>5</v>
      </c>
      <c r="E41" s="207"/>
      <c r="F41" s="604"/>
      <c r="G41" s="605"/>
      <c r="H41" s="605"/>
      <c r="I41" s="606"/>
      <c r="J41" s="608"/>
      <c r="K41" s="601" t="s">
        <v>169</v>
      </c>
      <c r="L41" s="602"/>
      <c r="M41" s="925"/>
      <c r="N41" s="926"/>
      <c r="O41" s="927"/>
      <c r="P41" s="603" t="s">
        <v>169</v>
      </c>
      <c r="Q41" s="602"/>
      <c r="R41" s="237"/>
      <c r="S41" s="242" t="s">
        <v>169</v>
      </c>
      <c r="T41" s="240" t="s">
        <v>169</v>
      </c>
    </row>
    <row r="42" spans="4:20" x14ac:dyDescent="0.25">
      <c r="D42" s="206">
        <v>6</v>
      </c>
      <c r="E42" s="207"/>
      <c r="F42" s="604"/>
      <c r="G42" s="605"/>
      <c r="H42" s="605"/>
      <c r="I42" s="606"/>
      <c r="J42" s="608"/>
      <c r="K42" s="601" t="s">
        <v>169</v>
      </c>
      <c r="L42" s="602"/>
      <c r="M42" s="925"/>
      <c r="N42" s="926"/>
      <c r="O42" s="927"/>
      <c r="P42" s="603" t="s">
        <v>169</v>
      </c>
      <c r="Q42" s="602"/>
      <c r="R42" s="237"/>
      <c r="S42" s="242" t="s">
        <v>169</v>
      </c>
      <c r="T42" s="240" t="s">
        <v>169</v>
      </c>
    </row>
    <row r="43" spans="4:20" x14ac:dyDescent="0.25">
      <c r="D43" s="206">
        <v>7</v>
      </c>
      <c r="E43" s="207"/>
      <c r="F43" s="604"/>
      <c r="G43" s="605"/>
      <c r="H43" s="605"/>
      <c r="I43" s="606"/>
      <c r="J43" s="608"/>
      <c r="K43" s="601" t="s">
        <v>169</v>
      </c>
      <c r="L43" s="602"/>
      <c r="M43" s="925"/>
      <c r="N43" s="926"/>
      <c r="O43" s="927"/>
      <c r="P43" s="603" t="s">
        <v>169</v>
      </c>
      <c r="Q43" s="602"/>
      <c r="R43" s="237"/>
      <c r="S43" s="242" t="s">
        <v>169</v>
      </c>
      <c r="T43" s="240" t="s">
        <v>169</v>
      </c>
    </row>
    <row r="44" spans="4:20" x14ac:dyDescent="0.25">
      <c r="D44" s="206">
        <v>8</v>
      </c>
      <c r="E44" s="207"/>
      <c r="F44" s="604"/>
      <c r="G44" s="605"/>
      <c r="H44" s="605"/>
      <c r="I44" s="606"/>
      <c r="J44" s="608"/>
      <c r="K44" s="601" t="s">
        <v>169</v>
      </c>
      <c r="L44" s="602"/>
      <c r="M44" s="925"/>
      <c r="N44" s="926"/>
      <c r="O44" s="927"/>
      <c r="P44" s="603" t="s">
        <v>169</v>
      </c>
      <c r="Q44" s="602"/>
      <c r="R44" s="237"/>
      <c r="S44" s="242" t="s">
        <v>169</v>
      </c>
      <c r="T44" s="240" t="s">
        <v>169</v>
      </c>
    </row>
    <row r="45" spans="4:20" x14ac:dyDescent="0.25">
      <c r="D45" s="206">
        <v>9</v>
      </c>
      <c r="E45" s="207"/>
      <c r="F45" s="604"/>
      <c r="G45" s="605"/>
      <c r="H45" s="605"/>
      <c r="I45" s="606"/>
      <c r="J45" s="608"/>
      <c r="K45" s="601" t="s">
        <v>169</v>
      </c>
      <c r="L45" s="602"/>
      <c r="M45" s="925"/>
      <c r="N45" s="926"/>
      <c r="O45" s="927"/>
      <c r="P45" s="603" t="s">
        <v>169</v>
      </c>
      <c r="Q45" s="602"/>
      <c r="R45" s="237"/>
      <c r="S45" s="242" t="s">
        <v>169</v>
      </c>
      <c r="T45" s="240" t="s">
        <v>169</v>
      </c>
    </row>
    <row r="46" spans="4:20" x14ac:dyDescent="0.25">
      <c r="D46" s="206">
        <v>10</v>
      </c>
      <c r="E46" s="207"/>
      <c r="F46" s="604"/>
      <c r="G46" s="605"/>
      <c r="H46" s="605"/>
      <c r="I46" s="606"/>
      <c r="J46" s="608"/>
      <c r="K46" s="601" t="s">
        <v>169</v>
      </c>
      <c r="L46" s="602"/>
      <c r="M46" s="925"/>
      <c r="N46" s="926"/>
      <c r="O46" s="927"/>
      <c r="P46" s="603" t="s">
        <v>169</v>
      </c>
      <c r="Q46" s="602"/>
      <c r="R46" s="237"/>
      <c r="S46" s="242" t="s">
        <v>169</v>
      </c>
      <c r="T46" s="240" t="s">
        <v>169</v>
      </c>
    </row>
    <row r="47" spans="4:20" x14ac:dyDescent="0.25">
      <c r="D47" s="206">
        <v>11</v>
      </c>
      <c r="E47" s="207"/>
      <c r="F47" s="604"/>
      <c r="G47" s="605"/>
      <c r="H47" s="605"/>
      <c r="I47" s="606"/>
      <c r="J47" s="608"/>
      <c r="K47" s="601" t="s">
        <v>169</v>
      </c>
      <c r="L47" s="602"/>
      <c r="M47" s="925"/>
      <c r="N47" s="926"/>
      <c r="O47" s="927"/>
      <c r="P47" s="603" t="s">
        <v>169</v>
      </c>
      <c r="Q47" s="602"/>
      <c r="R47" s="237"/>
      <c r="S47" s="242" t="s">
        <v>169</v>
      </c>
      <c r="T47" s="240" t="s">
        <v>169</v>
      </c>
    </row>
    <row r="48" spans="4:20" x14ac:dyDescent="0.25">
      <c r="D48" s="206">
        <v>12</v>
      </c>
      <c r="E48" s="207"/>
      <c r="F48" s="604"/>
      <c r="G48" s="605"/>
      <c r="H48" s="605"/>
      <c r="I48" s="606"/>
      <c r="J48" s="608"/>
      <c r="K48" s="601" t="s">
        <v>169</v>
      </c>
      <c r="L48" s="602"/>
      <c r="M48" s="925"/>
      <c r="N48" s="926"/>
      <c r="O48" s="927"/>
      <c r="P48" s="603" t="s">
        <v>169</v>
      </c>
      <c r="Q48" s="602"/>
      <c r="R48" s="237"/>
      <c r="S48" s="242" t="s">
        <v>169</v>
      </c>
      <c r="T48" s="240" t="s">
        <v>169</v>
      </c>
    </row>
    <row r="49" spans="4:20" x14ac:dyDescent="0.25">
      <c r="D49" s="206">
        <v>13</v>
      </c>
      <c r="E49" s="207"/>
      <c r="F49" s="604"/>
      <c r="G49" s="605"/>
      <c r="H49" s="605"/>
      <c r="I49" s="606"/>
      <c r="J49" s="608"/>
      <c r="K49" s="601" t="s">
        <v>169</v>
      </c>
      <c r="L49" s="602"/>
      <c r="M49" s="925"/>
      <c r="N49" s="926"/>
      <c r="O49" s="927"/>
      <c r="P49" s="603" t="s">
        <v>169</v>
      </c>
      <c r="Q49" s="602"/>
      <c r="R49" s="237"/>
      <c r="S49" s="242" t="s">
        <v>169</v>
      </c>
      <c r="T49" s="240" t="s">
        <v>169</v>
      </c>
    </row>
    <row r="50" spans="4:20" x14ac:dyDescent="0.25">
      <c r="D50" s="206">
        <v>14</v>
      </c>
      <c r="E50" s="207"/>
      <c r="F50" s="604"/>
      <c r="G50" s="605"/>
      <c r="H50" s="605"/>
      <c r="I50" s="606"/>
      <c r="J50" s="608"/>
      <c r="K50" s="601" t="s">
        <v>169</v>
      </c>
      <c r="L50" s="602"/>
      <c r="M50" s="925"/>
      <c r="N50" s="926"/>
      <c r="O50" s="927"/>
      <c r="P50" s="603" t="s">
        <v>169</v>
      </c>
      <c r="Q50" s="602"/>
      <c r="R50" s="237"/>
      <c r="S50" s="242" t="s">
        <v>169</v>
      </c>
      <c r="T50" s="240" t="s">
        <v>169</v>
      </c>
    </row>
    <row r="51" spans="4:20" x14ac:dyDescent="0.25">
      <c r="D51" s="206">
        <v>15</v>
      </c>
      <c r="E51" s="207"/>
      <c r="F51" s="604"/>
      <c r="G51" s="605"/>
      <c r="H51" s="605"/>
      <c r="I51" s="606"/>
      <c r="J51" s="608"/>
      <c r="K51" s="601" t="s">
        <v>169</v>
      </c>
      <c r="L51" s="602"/>
      <c r="M51" s="925"/>
      <c r="N51" s="926"/>
      <c r="O51" s="927"/>
      <c r="P51" s="603" t="s">
        <v>169</v>
      </c>
      <c r="Q51" s="602"/>
      <c r="R51" s="237"/>
      <c r="S51" s="242" t="s">
        <v>169</v>
      </c>
      <c r="T51" s="240" t="s">
        <v>169</v>
      </c>
    </row>
    <row r="52" spans="4:20" x14ac:dyDescent="0.25">
      <c r="D52" s="206">
        <v>16</v>
      </c>
      <c r="E52" s="207"/>
      <c r="F52" s="604"/>
      <c r="G52" s="605"/>
      <c r="H52" s="605"/>
      <c r="I52" s="606"/>
      <c r="J52" s="608"/>
      <c r="K52" s="601" t="s">
        <v>169</v>
      </c>
      <c r="L52" s="602"/>
      <c r="M52" s="925"/>
      <c r="N52" s="926"/>
      <c r="O52" s="927"/>
      <c r="P52" s="603" t="s">
        <v>169</v>
      </c>
      <c r="Q52" s="602"/>
      <c r="R52" s="237"/>
      <c r="S52" s="242" t="s">
        <v>169</v>
      </c>
      <c r="T52" s="240" t="s">
        <v>169</v>
      </c>
    </row>
    <row r="53" spans="4:20" x14ac:dyDescent="0.25">
      <c r="D53" s="206">
        <v>17</v>
      </c>
      <c r="E53" s="207"/>
      <c r="F53" s="364"/>
      <c r="G53" s="365"/>
      <c r="H53" s="365"/>
      <c r="I53" s="366"/>
      <c r="J53" s="608"/>
      <c r="K53" s="601" t="s">
        <v>169</v>
      </c>
      <c r="L53" s="602"/>
      <c r="M53" s="925"/>
      <c r="N53" s="926"/>
      <c r="O53" s="927"/>
      <c r="P53" s="603" t="s">
        <v>169</v>
      </c>
      <c r="Q53" s="602"/>
      <c r="R53" s="237"/>
      <c r="S53" s="242" t="s">
        <v>169</v>
      </c>
      <c r="T53" s="240" t="s">
        <v>169</v>
      </c>
    </row>
    <row r="54" spans="4:20" x14ac:dyDescent="0.25">
      <c r="D54" s="206">
        <v>18</v>
      </c>
      <c r="E54" s="207"/>
      <c r="F54" s="364"/>
      <c r="G54" s="365"/>
      <c r="H54" s="365"/>
      <c r="I54" s="366"/>
      <c r="J54" s="608"/>
      <c r="K54" s="601" t="s">
        <v>169</v>
      </c>
      <c r="L54" s="602"/>
      <c r="M54" s="925"/>
      <c r="N54" s="926"/>
      <c r="O54" s="927"/>
      <c r="P54" s="603" t="s">
        <v>169</v>
      </c>
      <c r="Q54" s="602"/>
      <c r="R54" s="237"/>
      <c r="S54" s="242" t="s">
        <v>169</v>
      </c>
      <c r="T54" s="240" t="s">
        <v>169</v>
      </c>
    </row>
    <row r="55" spans="4:20" x14ac:dyDescent="0.25">
      <c r="D55" s="206">
        <v>19</v>
      </c>
      <c r="E55" s="207"/>
      <c r="F55" s="364"/>
      <c r="G55" s="365"/>
      <c r="H55" s="365"/>
      <c r="I55" s="366"/>
      <c r="J55" s="608"/>
      <c r="K55" s="601" t="s">
        <v>169</v>
      </c>
      <c r="L55" s="602"/>
      <c r="M55" s="925"/>
      <c r="N55" s="926"/>
      <c r="O55" s="927"/>
      <c r="P55" s="603" t="s">
        <v>169</v>
      </c>
      <c r="Q55" s="602"/>
      <c r="R55" s="237"/>
      <c r="S55" s="242" t="s">
        <v>169</v>
      </c>
      <c r="T55" s="240" t="s">
        <v>169</v>
      </c>
    </row>
    <row r="56" spans="4:20" x14ac:dyDescent="0.25">
      <c r="D56" s="206">
        <v>20</v>
      </c>
      <c r="E56" s="207"/>
      <c r="F56" s="604"/>
      <c r="G56" s="605"/>
      <c r="H56" s="605"/>
      <c r="I56" s="606"/>
      <c r="J56" s="608"/>
      <c r="K56" s="601" t="s">
        <v>169</v>
      </c>
      <c r="L56" s="602"/>
      <c r="M56" s="925"/>
      <c r="N56" s="926"/>
      <c r="O56" s="927"/>
      <c r="P56" s="603" t="s">
        <v>169</v>
      </c>
      <c r="Q56" s="602"/>
      <c r="R56" s="237"/>
      <c r="S56" s="242" t="s">
        <v>169</v>
      </c>
      <c r="T56" s="240" t="s">
        <v>169</v>
      </c>
    </row>
    <row r="57" spans="4:20" ht="3.6" customHeight="1" thickBot="1" x14ac:dyDescent="0.3">
      <c r="D57" s="208"/>
      <c r="E57" s="209"/>
      <c r="F57" s="615"/>
      <c r="G57" s="616"/>
      <c r="H57" s="616"/>
      <c r="I57" s="617"/>
      <c r="J57" s="608"/>
      <c r="K57" s="618" t="s">
        <v>169</v>
      </c>
      <c r="L57" s="619"/>
      <c r="M57" s="620"/>
      <c r="N57" s="621"/>
      <c r="O57" s="233"/>
      <c r="P57" s="620" t="s">
        <v>169</v>
      </c>
      <c r="Q57" s="619"/>
      <c r="R57" s="237"/>
      <c r="S57" s="243" t="s">
        <v>169</v>
      </c>
      <c r="T57" s="241" t="s">
        <v>169</v>
      </c>
    </row>
    <row r="58" spans="4:20" ht="9.75" customHeight="1" thickTop="1" thickBot="1" x14ac:dyDescent="0.3">
      <c r="D58"/>
      <c r="E58"/>
      <c r="F58"/>
      <c r="G58"/>
      <c r="H58"/>
      <c r="I58"/>
      <c r="J58" s="608"/>
      <c r="K58"/>
      <c r="L58"/>
      <c r="M58"/>
      <c r="N58"/>
      <c r="O58"/>
      <c r="P58"/>
      <c r="Q58"/>
      <c r="R58"/>
      <c r="S58"/>
      <c r="T58"/>
    </row>
    <row r="59" spans="4:20" ht="20.45" customHeight="1" thickBot="1" x14ac:dyDescent="0.3">
      <c r="D59" s="633" t="s">
        <v>128</v>
      </c>
      <c r="E59" s="633"/>
      <c r="F59" s="403" t="s">
        <v>238</v>
      </c>
      <c r="G59" s="404"/>
      <c r="H59" s="404"/>
      <c r="I59" s="404"/>
      <c r="J59" s="404"/>
      <c r="K59" s="404"/>
      <c r="L59" s="404"/>
      <c r="M59" s="404"/>
      <c r="N59" s="404"/>
      <c r="O59" s="404"/>
      <c r="P59" s="404"/>
      <c r="Q59" s="404"/>
      <c r="R59" s="404"/>
      <c r="S59" s="404"/>
      <c r="T59" s="405"/>
    </row>
    <row r="60" spans="4:20" s="6" customFormat="1" ht="5.45" customHeight="1" x14ac:dyDescent="0.25">
      <c r="D60" s="44"/>
      <c r="E60" s="45"/>
      <c r="F60" s="46"/>
      <c r="G60" s="46"/>
      <c r="H60" s="46"/>
      <c r="I60" s="46"/>
      <c r="J60" s="47"/>
      <c r="K60" s="47"/>
      <c r="L60" s="47"/>
      <c r="M60" s="47"/>
      <c r="N60" s="47"/>
      <c r="O60" s="47"/>
      <c r="P60" s="47"/>
      <c r="Q60" s="47"/>
      <c r="R60" s="47"/>
      <c r="S60" s="47"/>
      <c r="T60" s="47"/>
    </row>
    <row r="61" spans="4:20" s="6" customFormat="1" ht="15" customHeight="1" x14ac:dyDescent="0.25">
      <c r="D61" s="136">
        <v>6</v>
      </c>
      <c r="E61" s="655" t="s">
        <v>228</v>
      </c>
      <c r="F61" s="655"/>
      <c r="G61" s="655"/>
      <c r="H61" s="655"/>
      <c r="I61" s="655"/>
      <c r="J61" s="655"/>
      <c r="K61" s="655"/>
      <c r="L61" s="655"/>
      <c r="M61" s="655"/>
      <c r="N61" s="655"/>
      <c r="O61" s="655"/>
      <c r="P61" s="655"/>
      <c r="Q61" s="655"/>
      <c r="R61" s="223"/>
      <c r="S61" s="137">
        <v>6</v>
      </c>
      <c r="T61" s="326"/>
    </row>
    <row r="62" spans="4:20" s="6" customFormat="1" ht="6" customHeight="1" x14ac:dyDescent="0.25">
      <c r="D62" s="29"/>
      <c r="E62" s="29"/>
      <c r="F62" s="20"/>
      <c r="G62" s="20"/>
      <c r="H62" s="20"/>
      <c r="I62" s="20"/>
      <c r="J62" s="20"/>
      <c r="K62" s="20"/>
      <c r="L62" s="17"/>
      <c r="M62" s="20"/>
      <c r="N62" s="20"/>
      <c r="O62" s="17"/>
      <c r="P62" s="17"/>
      <c r="Q62" s="17"/>
      <c r="R62" s="17"/>
      <c r="S62" s="17"/>
      <c r="T62" s="17"/>
    </row>
    <row r="63" spans="4:20" s="6" customFormat="1" ht="17.45" customHeight="1" x14ac:dyDescent="0.25">
      <c r="D63" s="136">
        <v>7</v>
      </c>
      <c r="E63" s="655" t="s">
        <v>229</v>
      </c>
      <c r="F63" s="655"/>
      <c r="G63" s="655"/>
      <c r="H63" s="655"/>
      <c r="I63" s="655"/>
      <c r="J63" s="655"/>
      <c r="K63" s="655"/>
      <c r="L63" s="655"/>
      <c r="M63" s="655"/>
      <c r="N63" s="655"/>
      <c r="O63" s="655"/>
      <c r="P63" s="655"/>
      <c r="Q63" s="655"/>
      <c r="R63" s="223"/>
      <c r="S63" s="137">
        <v>7</v>
      </c>
      <c r="T63" s="326"/>
    </row>
    <row r="64" spans="4:20" ht="5.45" customHeight="1" x14ac:dyDescent="0.25">
      <c r="D64" s="139"/>
      <c r="E64" s="183"/>
      <c r="F64" s="183"/>
      <c r="G64" s="183"/>
      <c r="H64" s="183"/>
      <c r="I64" s="183"/>
      <c r="J64" s="183"/>
      <c r="K64" s="183"/>
      <c r="L64" s="183"/>
      <c r="M64" s="183"/>
      <c r="N64" s="183"/>
      <c r="O64" s="183"/>
      <c r="P64" s="183"/>
      <c r="Q64" s="183"/>
      <c r="R64" s="183"/>
      <c r="S64" s="140"/>
      <c r="T64" s="140"/>
    </row>
    <row r="65" spans="4:20" ht="48.75" customHeight="1" thickBot="1" x14ac:dyDescent="0.3">
      <c r="D65" s="656" t="s">
        <v>1236</v>
      </c>
      <c r="E65" s="656"/>
      <c r="F65" s="656"/>
      <c r="G65" s="656"/>
      <c r="H65" s="656"/>
      <c r="I65" s="656"/>
      <c r="J65" s="656"/>
      <c r="K65" s="656"/>
      <c r="L65" s="656"/>
      <c r="M65" s="656"/>
      <c r="N65" s="656"/>
      <c r="O65" s="656"/>
      <c r="P65" s="656"/>
      <c r="Q65" s="656"/>
      <c r="R65" s="656"/>
      <c r="S65" s="656"/>
      <c r="T65" s="656"/>
    </row>
    <row r="66" spans="4:20" ht="5.45" customHeight="1" thickTop="1" thickBot="1" x14ac:dyDescent="0.3">
      <c r="D66" s="48"/>
      <c r="E66" s="48"/>
      <c r="F66" s="48"/>
      <c r="G66" s="48"/>
      <c r="H66" s="48"/>
      <c r="I66" s="48"/>
      <c r="J66" s="48"/>
      <c r="K66" s="48"/>
      <c r="L66" s="48"/>
      <c r="M66" s="48"/>
      <c r="N66" s="48"/>
      <c r="O66" s="48"/>
      <c r="P66" s="48"/>
      <c r="Q66" s="48"/>
      <c r="R66" s="48"/>
      <c r="S66" s="48"/>
      <c r="T66" s="48"/>
    </row>
    <row r="67" spans="4:20" ht="28.15" customHeight="1" thickTop="1" thickBot="1" x14ac:dyDescent="0.3">
      <c r="D67" s="628" t="s">
        <v>230</v>
      </c>
      <c r="E67" s="629"/>
      <c r="F67" s="629"/>
      <c r="G67" s="629"/>
      <c r="H67" s="629"/>
      <c r="I67" s="630"/>
      <c r="J67" s="232"/>
      <c r="K67" s="631" t="s">
        <v>231</v>
      </c>
      <c r="L67" s="632"/>
      <c r="M67" s="632"/>
      <c r="N67" s="632"/>
      <c r="O67" s="632"/>
      <c r="P67" s="632"/>
      <c r="Q67" s="632"/>
      <c r="R67" s="236"/>
      <c r="S67" s="636" t="s">
        <v>281</v>
      </c>
      <c r="T67" s="637"/>
    </row>
    <row r="68" spans="4:20" ht="33" customHeight="1" x14ac:dyDescent="0.25">
      <c r="D68" s="204" t="s">
        <v>232</v>
      </c>
      <c r="E68" s="205" t="s">
        <v>233</v>
      </c>
      <c r="F68" s="622" t="s">
        <v>234</v>
      </c>
      <c r="G68" s="623"/>
      <c r="H68" s="623"/>
      <c r="I68" s="624"/>
      <c r="J68" s="230"/>
      <c r="K68" s="625" t="s">
        <v>279</v>
      </c>
      <c r="L68" s="626"/>
      <c r="M68" s="626" t="s">
        <v>235</v>
      </c>
      <c r="N68" s="626"/>
      <c r="O68" s="210" t="s">
        <v>236</v>
      </c>
      <c r="P68" s="626" t="s">
        <v>280</v>
      </c>
      <c r="Q68" s="627"/>
      <c r="R68" s="235"/>
      <c r="S68" s="247" t="s">
        <v>282</v>
      </c>
      <c r="T68" s="248" t="s">
        <v>237</v>
      </c>
    </row>
    <row r="69" spans="4:20" x14ac:dyDescent="0.25">
      <c r="D69" s="206">
        <v>1</v>
      </c>
      <c r="E69" s="207"/>
      <c r="F69" s="604"/>
      <c r="G69" s="605"/>
      <c r="H69" s="605"/>
      <c r="I69" s="606"/>
      <c r="J69" s="231"/>
      <c r="K69" s="601" t="s">
        <v>169</v>
      </c>
      <c r="L69" s="602"/>
      <c r="M69" s="925"/>
      <c r="N69" s="926"/>
      <c r="O69" s="927"/>
      <c r="P69" s="603" t="s">
        <v>169</v>
      </c>
      <c r="Q69" s="602"/>
      <c r="R69" s="237"/>
      <c r="S69" s="249" t="s">
        <v>169</v>
      </c>
      <c r="T69" s="250" t="s">
        <v>169</v>
      </c>
    </row>
    <row r="70" spans="4:20" x14ac:dyDescent="0.25">
      <c r="D70" s="206">
        <v>2</v>
      </c>
      <c r="E70" s="207"/>
      <c r="F70" s="604"/>
      <c r="G70" s="605"/>
      <c r="H70" s="605"/>
      <c r="I70" s="606"/>
      <c r="J70" s="231"/>
      <c r="K70" s="601" t="s">
        <v>169</v>
      </c>
      <c r="L70" s="602"/>
      <c r="M70" s="925"/>
      <c r="N70" s="926"/>
      <c r="O70" s="927"/>
      <c r="P70" s="603" t="s">
        <v>169</v>
      </c>
      <c r="Q70" s="602"/>
      <c r="R70" s="237"/>
      <c r="S70" s="249" t="s">
        <v>169</v>
      </c>
      <c r="T70" s="250" t="s">
        <v>169</v>
      </c>
    </row>
    <row r="71" spans="4:20" x14ac:dyDescent="0.25">
      <c r="D71" s="206">
        <v>3</v>
      </c>
      <c r="E71" s="207"/>
      <c r="F71" s="604"/>
      <c r="G71" s="605"/>
      <c r="H71" s="605"/>
      <c r="I71" s="606"/>
      <c r="J71" s="231"/>
      <c r="K71" s="601" t="s">
        <v>169</v>
      </c>
      <c r="L71" s="602"/>
      <c r="M71" s="925"/>
      <c r="N71" s="926"/>
      <c r="O71" s="927"/>
      <c r="P71" s="603" t="s">
        <v>169</v>
      </c>
      <c r="Q71" s="602"/>
      <c r="R71" s="237"/>
      <c r="S71" s="249" t="s">
        <v>169</v>
      </c>
      <c r="T71" s="250" t="s">
        <v>169</v>
      </c>
    </row>
    <row r="72" spans="4:20" x14ac:dyDescent="0.25">
      <c r="D72" s="206">
        <v>4</v>
      </c>
      <c r="E72" s="207"/>
      <c r="F72" s="604"/>
      <c r="G72" s="605"/>
      <c r="H72" s="605"/>
      <c r="I72" s="606"/>
      <c r="J72" s="231"/>
      <c r="K72" s="601" t="s">
        <v>169</v>
      </c>
      <c r="L72" s="602"/>
      <c r="M72" s="925"/>
      <c r="N72" s="926"/>
      <c r="O72" s="927"/>
      <c r="P72" s="603" t="s">
        <v>169</v>
      </c>
      <c r="Q72" s="602"/>
      <c r="R72" s="237"/>
      <c r="S72" s="249" t="s">
        <v>169</v>
      </c>
      <c r="T72" s="250" t="s">
        <v>169</v>
      </c>
    </row>
    <row r="73" spans="4:20" x14ac:dyDescent="0.25">
      <c r="D73" s="206">
        <v>5</v>
      </c>
      <c r="E73" s="207"/>
      <c r="F73" s="604"/>
      <c r="G73" s="605"/>
      <c r="H73" s="605"/>
      <c r="I73" s="606"/>
      <c r="J73" s="231"/>
      <c r="K73" s="601" t="s">
        <v>169</v>
      </c>
      <c r="L73" s="602"/>
      <c r="M73" s="925"/>
      <c r="N73" s="926"/>
      <c r="O73" s="927"/>
      <c r="P73" s="603" t="s">
        <v>169</v>
      </c>
      <c r="Q73" s="602"/>
      <c r="R73" s="237"/>
      <c r="S73" s="249" t="s">
        <v>169</v>
      </c>
      <c r="T73" s="250" t="s">
        <v>169</v>
      </c>
    </row>
    <row r="74" spans="4:20" x14ac:dyDescent="0.25">
      <c r="D74" s="206">
        <v>6</v>
      </c>
      <c r="E74" s="207"/>
      <c r="F74" s="604"/>
      <c r="G74" s="605"/>
      <c r="H74" s="605"/>
      <c r="I74" s="606"/>
      <c r="J74" s="231"/>
      <c r="K74" s="601" t="s">
        <v>169</v>
      </c>
      <c r="L74" s="602"/>
      <c r="M74" s="925"/>
      <c r="N74" s="926"/>
      <c r="O74" s="927"/>
      <c r="P74" s="603" t="s">
        <v>169</v>
      </c>
      <c r="Q74" s="602"/>
      <c r="R74" s="237"/>
      <c r="S74" s="249" t="s">
        <v>169</v>
      </c>
      <c r="T74" s="250" t="s">
        <v>169</v>
      </c>
    </row>
    <row r="75" spans="4:20" x14ac:dyDescent="0.25">
      <c r="D75" s="206">
        <v>7</v>
      </c>
      <c r="E75" s="207"/>
      <c r="F75" s="604"/>
      <c r="G75" s="605"/>
      <c r="H75" s="605"/>
      <c r="I75" s="606"/>
      <c r="J75" s="231"/>
      <c r="K75" s="601" t="s">
        <v>169</v>
      </c>
      <c r="L75" s="602"/>
      <c r="M75" s="925"/>
      <c r="N75" s="926"/>
      <c r="O75" s="927"/>
      <c r="P75" s="603" t="s">
        <v>169</v>
      </c>
      <c r="Q75" s="602"/>
      <c r="R75" s="237"/>
      <c r="S75" s="249" t="s">
        <v>169</v>
      </c>
      <c r="T75" s="250" t="s">
        <v>169</v>
      </c>
    </row>
    <row r="76" spans="4:20" x14ac:dyDescent="0.25">
      <c r="D76" s="206">
        <v>8</v>
      </c>
      <c r="E76" s="207"/>
      <c r="F76" s="604"/>
      <c r="G76" s="605"/>
      <c r="H76" s="605"/>
      <c r="I76" s="606"/>
      <c r="J76" s="231"/>
      <c r="K76" s="601" t="s">
        <v>169</v>
      </c>
      <c r="L76" s="602"/>
      <c r="M76" s="925"/>
      <c r="N76" s="926"/>
      <c r="O76" s="927"/>
      <c r="P76" s="603" t="s">
        <v>169</v>
      </c>
      <c r="Q76" s="602"/>
      <c r="R76" s="237"/>
      <c r="S76" s="249" t="s">
        <v>169</v>
      </c>
      <c r="T76" s="250" t="s">
        <v>169</v>
      </c>
    </row>
    <row r="77" spans="4:20" x14ac:dyDescent="0.25">
      <c r="D77" s="206">
        <v>9</v>
      </c>
      <c r="E77" s="207"/>
      <c r="F77" s="604"/>
      <c r="G77" s="605"/>
      <c r="H77" s="605"/>
      <c r="I77" s="606"/>
      <c r="J77" s="231"/>
      <c r="K77" s="601" t="s">
        <v>169</v>
      </c>
      <c r="L77" s="602"/>
      <c r="M77" s="925"/>
      <c r="N77" s="926"/>
      <c r="O77" s="927"/>
      <c r="P77" s="603" t="s">
        <v>169</v>
      </c>
      <c r="Q77" s="602"/>
      <c r="R77" s="237"/>
      <c r="S77" s="249" t="s">
        <v>169</v>
      </c>
      <c r="T77" s="250" t="s">
        <v>169</v>
      </c>
    </row>
    <row r="78" spans="4:20" x14ac:dyDescent="0.25">
      <c r="D78" s="206">
        <v>10</v>
      </c>
      <c r="E78" s="207"/>
      <c r="F78" s="604"/>
      <c r="G78" s="605"/>
      <c r="H78" s="605"/>
      <c r="I78" s="606"/>
      <c r="J78" s="231"/>
      <c r="K78" s="601" t="s">
        <v>169</v>
      </c>
      <c r="L78" s="602"/>
      <c r="M78" s="925"/>
      <c r="N78" s="926"/>
      <c r="O78" s="927"/>
      <c r="P78" s="603" t="s">
        <v>169</v>
      </c>
      <c r="Q78" s="602"/>
      <c r="R78" s="237"/>
      <c r="S78" s="249" t="s">
        <v>169</v>
      </c>
      <c r="T78" s="250" t="s">
        <v>169</v>
      </c>
    </row>
    <row r="79" spans="4:20" ht="4.9000000000000004" customHeight="1" thickBot="1" x14ac:dyDescent="0.3">
      <c r="D79" s="208"/>
      <c r="E79" s="209"/>
      <c r="F79" s="615"/>
      <c r="G79" s="616"/>
      <c r="H79" s="616"/>
      <c r="I79" s="617"/>
      <c r="J79" s="231"/>
      <c r="K79" s="618" t="s">
        <v>169</v>
      </c>
      <c r="L79" s="619"/>
      <c r="M79" s="620"/>
      <c r="N79" s="621"/>
      <c r="O79" s="233"/>
      <c r="P79" s="620" t="s">
        <v>169</v>
      </c>
      <c r="Q79" s="619"/>
      <c r="R79" s="237"/>
      <c r="S79" s="251" t="s">
        <v>169</v>
      </c>
      <c r="T79" s="252" t="s">
        <v>169</v>
      </c>
    </row>
    <row r="80" spans="4:20" ht="9" customHeight="1" thickTop="1" thickBot="1" x14ac:dyDescent="0.3">
      <c r="D80"/>
      <c r="E80"/>
      <c r="F80"/>
      <c r="G80"/>
      <c r="H80"/>
      <c r="I80"/>
      <c r="J80"/>
      <c r="K80"/>
      <c r="L80"/>
      <c r="M80"/>
      <c r="N80"/>
      <c r="O80"/>
      <c r="P80"/>
      <c r="Q80"/>
      <c r="R80"/>
      <c r="S80"/>
      <c r="T80"/>
    </row>
    <row r="81" spans="4:20" ht="20.45" customHeight="1" thickBot="1" x14ac:dyDescent="0.3">
      <c r="D81" s="633" t="s">
        <v>147</v>
      </c>
      <c r="E81" s="633"/>
      <c r="F81" s="403" t="s">
        <v>239</v>
      </c>
      <c r="G81" s="404"/>
      <c r="H81" s="404"/>
      <c r="I81" s="404"/>
      <c r="J81" s="404"/>
      <c r="K81" s="404"/>
      <c r="L81" s="404"/>
      <c r="M81" s="404"/>
      <c r="N81" s="404"/>
      <c r="O81" s="404"/>
      <c r="P81" s="404"/>
      <c r="Q81" s="404"/>
      <c r="R81" s="404"/>
      <c r="S81" s="404"/>
      <c r="T81" s="405"/>
    </row>
    <row r="82" spans="4:20" s="6" customFormat="1" ht="5.45" customHeight="1" x14ac:dyDescent="0.25">
      <c r="D82" s="44"/>
      <c r="E82" s="45"/>
      <c r="F82" s="46"/>
      <c r="G82" s="46"/>
      <c r="H82" s="46"/>
      <c r="I82" s="46"/>
      <c r="J82" s="47"/>
      <c r="K82" s="47"/>
      <c r="L82" s="47"/>
      <c r="M82" s="47"/>
      <c r="N82" s="47"/>
      <c r="O82" s="47"/>
      <c r="P82" s="47"/>
      <c r="Q82" s="47"/>
      <c r="R82" s="47"/>
      <c r="S82" s="47"/>
      <c r="T82" s="47"/>
    </row>
    <row r="83" spans="4:20" s="6" customFormat="1" ht="15" customHeight="1" x14ac:dyDescent="0.25">
      <c r="D83" s="136">
        <v>8</v>
      </c>
      <c r="E83" s="669" t="s">
        <v>228</v>
      </c>
      <c r="F83" s="669"/>
      <c r="G83" s="669"/>
      <c r="H83" s="669"/>
      <c r="I83" s="669"/>
      <c r="J83" s="669"/>
      <c r="K83" s="669"/>
      <c r="L83" s="669"/>
      <c r="M83" s="669"/>
      <c r="N83" s="669"/>
      <c r="O83" s="669"/>
      <c r="P83" s="669"/>
      <c r="Q83" s="669"/>
      <c r="R83" s="223"/>
      <c r="S83" s="137">
        <v>8</v>
      </c>
      <c r="T83" s="326"/>
    </row>
    <row r="84" spans="4:20" s="6" customFormat="1" ht="6" customHeight="1" x14ac:dyDescent="0.25">
      <c r="D84" s="29"/>
      <c r="E84" s="29"/>
      <c r="F84" s="20"/>
      <c r="G84" s="20"/>
      <c r="H84" s="20"/>
      <c r="I84" s="20"/>
      <c r="J84" s="20"/>
      <c r="K84" s="20"/>
      <c r="L84" s="17"/>
      <c r="M84" s="20"/>
      <c r="N84" s="20"/>
      <c r="O84" s="17"/>
      <c r="P84" s="17"/>
      <c r="Q84" s="17"/>
      <c r="R84" s="17"/>
      <c r="S84" s="17"/>
      <c r="T84" s="17"/>
    </row>
    <row r="85" spans="4:20" s="6" customFormat="1" ht="17.45" customHeight="1" x14ac:dyDescent="0.25">
      <c r="D85" s="136">
        <v>9</v>
      </c>
      <c r="E85" s="669" t="s">
        <v>229</v>
      </c>
      <c r="F85" s="669"/>
      <c r="G85" s="669"/>
      <c r="H85" s="669"/>
      <c r="I85" s="669"/>
      <c r="J85" s="669"/>
      <c r="K85" s="669"/>
      <c r="L85" s="669"/>
      <c r="M85" s="669"/>
      <c r="N85" s="669"/>
      <c r="O85" s="669"/>
      <c r="P85" s="669"/>
      <c r="Q85" s="669"/>
      <c r="R85" s="223"/>
      <c r="S85" s="137">
        <v>9</v>
      </c>
      <c r="T85" s="326"/>
    </row>
    <row r="86" spans="4:20" ht="5.45" customHeight="1" x14ac:dyDescent="0.25">
      <c r="D86" s="139"/>
      <c r="E86" s="183"/>
      <c r="F86" s="183"/>
      <c r="G86" s="183"/>
      <c r="H86" s="183"/>
      <c r="I86" s="183"/>
      <c r="J86" s="183"/>
      <c r="K86" s="183"/>
      <c r="L86" s="183"/>
      <c r="M86" s="183"/>
      <c r="N86" s="183"/>
      <c r="O86" s="183"/>
      <c r="P86" s="183"/>
      <c r="Q86" s="183"/>
      <c r="R86" s="183"/>
      <c r="S86" s="140"/>
      <c r="T86" s="140"/>
    </row>
    <row r="87" spans="4:20" s="6" customFormat="1" ht="17.45" customHeight="1" x14ac:dyDescent="0.25">
      <c r="D87" s="136">
        <v>10</v>
      </c>
      <c r="E87" s="670" t="s">
        <v>240</v>
      </c>
      <c r="F87" s="670"/>
      <c r="G87" s="670"/>
      <c r="H87" s="670"/>
      <c r="I87" s="670"/>
      <c r="J87" s="670"/>
      <c r="K87" s="670"/>
      <c r="L87" s="670"/>
      <c r="M87" s="670"/>
      <c r="N87" s="670"/>
      <c r="O87" s="670"/>
      <c r="P87" s="670"/>
      <c r="Q87" s="670"/>
      <c r="R87" s="222"/>
      <c r="S87" s="137">
        <v>10</v>
      </c>
      <c r="T87" s="129" t="s">
        <v>169</v>
      </c>
    </row>
    <row r="88" spans="4:20" s="6" customFormat="1" ht="10.5" customHeight="1" x14ac:dyDescent="0.25">
      <c r="D88" s="136"/>
      <c r="E88" s="670"/>
      <c r="F88" s="670"/>
      <c r="G88" s="670"/>
      <c r="H88" s="670"/>
      <c r="I88" s="670"/>
      <c r="J88" s="670"/>
      <c r="K88" s="670"/>
      <c r="L88" s="670"/>
      <c r="M88" s="670"/>
      <c r="N88" s="670"/>
      <c r="O88" s="670"/>
      <c r="P88" s="670"/>
      <c r="Q88" s="670"/>
      <c r="R88" s="222"/>
      <c r="S88" s="137"/>
      <c r="T88" s="137"/>
    </row>
    <row r="89" spans="4:20" ht="31.5" customHeight="1" thickBot="1" x14ac:dyDescent="0.3">
      <c r="D89" s="656" t="s">
        <v>285</v>
      </c>
      <c r="E89" s="656"/>
      <c r="F89" s="656"/>
      <c r="G89" s="656"/>
      <c r="H89" s="656"/>
      <c r="I89" s="656"/>
      <c r="J89" s="656"/>
      <c r="K89" s="656"/>
      <c r="L89" s="656"/>
      <c r="M89" s="656"/>
      <c r="N89" s="656"/>
      <c r="O89" s="656"/>
      <c r="P89" s="656"/>
      <c r="Q89" s="656"/>
      <c r="R89" s="656"/>
      <c r="S89" s="656"/>
      <c r="T89" s="656"/>
    </row>
    <row r="90" spans="4:20" ht="5.45" customHeight="1" thickTop="1" thickBot="1" x14ac:dyDescent="0.3">
      <c r="D90" s="48"/>
      <c r="E90" s="48"/>
      <c r="F90" s="48"/>
      <c r="G90" s="48"/>
      <c r="H90" s="48"/>
      <c r="I90" s="48"/>
      <c r="J90" s="48"/>
      <c r="K90" s="48"/>
      <c r="L90" s="48"/>
      <c r="M90" s="48"/>
      <c r="N90" s="48"/>
      <c r="O90" s="48"/>
      <c r="P90" s="48"/>
      <c r="Q90" s="48"/>
      <c r="R90" s="48"/>
      <c r="S90" s="48"/>
      <c r="T90" s="48"/>
    </row>
    <row r="91" spans="4:20" ht="28.15" customHeight="1" thickTop="1" thickBot="1" x14ac:dyDescent="0.3">
      <c r="D91" s="628" t="s">
        <v>230</v>
      </c>
      <c r="E91" s="629"/>
      <c r="F91" s="629"/>
      <c r="G91" s="629"/>
      <c r="H91" s="629"/>
      <c r="I91" s="630"/>
      <c r="J91" s="232"/>
      <c r="K91" s="631" t="s">
        <v>231</v>
      </c>
      <c r="L91" s="632"/>
      <c r="M91" s="632"/>
      <c r="N91" s="632"/>
      <c r="O91" s="632"/>
      <c r="P91" s="632"/>
      <c r="Q91" s="632"/>
      <c r="R91" s="236"/>
      <c r="S91" s="641" t="s">
        <v>281</v>
      </c>
      <c r="T91" s="637"/>
    </row>
    <row r="92" spans="4:20" ht="33" customHeight="1" x14ac:dyDescent="0.25">
      <c r="D92" s="204" t="s">
        <v>232</v>
      </c>
      <c r="E92" s="205" t="s">
        <v>233</v>
      </c>
      <c r="F92" s="622" t="s">
        <v>234</v>
      </c>
      <c r="G92" s="623"/>
      <c r="H92" s="623"/>
      <c r="I92" s="624"/>
      <c r="J92" s="230"/>
      <c r="K92" s="625" t="s">
        <v>284</v>
      </c>
      <c r="L92" s="626"/>
      <c r="M92" s="626" t="s">
        <v>235</v>
      </c>
      <c r="N92" s="626"/>
      <c r="O92" s="210" t="s">
        <v>236</v>
      </c>
      <c r="P92" s="626" t="s">
        <v>280</v>
      </c>
      <c r="Q92" s="627"/>
      <c r="R92" s="238"/>
      <c r="S92" s="234" t="s">
        <v>282</v>
      </c>
      <c r="T92" s="211" t="s">
        <v>237</v>
      </c>
    </row>
    <row r="93" spans="4:20" x14ac:dyDescent="0.25">
      <c r="D93" s="206">
        <v>1</v>
      </c>
      <c r="E93" s="207"/>
      <c r="F93" s="604"/>
      <c r="G93" s="605"/>
      <c r="H93" s="605"/>
      <c r="I93" s="606"/>
      <c r="J93" s="231"/>
      <c r="K93" s="601" t="s">
        <v>169</v>
      </c>
      <c r="L93" s="602"/>
      <c r="M93" s="925"/>
      <c r="N93" s="926"/>
      <c r="O93" s="927"/>
      <c r="P93" s="603" t="s">
        <v>169</v>
      </c>
      <c r="Q93" s="602"/>
      <c r="R93" s="239"/>
      <c r="S93" s="242" t="s">
        <v>169</v>
      </c>
      <c r="T93" s="240" t="s">
        <v>169</v>
      </c>
    </row>
    <row r="94" spans="4:20" x14ac:dyDescent="0.25">
      <c r="D94" s="206">
        <v>2</v>
      </c>
      <c r="E94" s="207"/>
      <c r="F94" s="604"/>
      <c r="G94" s="605"/>
      <c r="H94" s="605"/>
      <c r="I94" s="606"/>
      <c r="J94" s="231"/>
      <c r="K94" s="601" t="s">
        <v>169</v>
      </c>
      <c r="L94" s="602"/>
      <c r="M94" s="925"/>
      <c r="N94" s="926"/>
      <c r="O94" s="927"/>
      <c r="P94" s="603" t="s">
        <v>169</v>
      </c>
      <c r="Q94" s="602"/>
      <c r="R94" s="239"/>
      <c r="S94" s="242" t="s">
        <v>169</v>
      </c>
      <c r="T94" s="240" t="s">
        <v>169</v>
      </c>
    </row>
    <row r="95" spans="4:20" x14ac:dyDescent="0.25">
      <c r="D95" s="206">
        <v>3</v>
      </c>
      <c r="E95" s="207"/>
      <c r="F95" s="604"/>
      <c r="G95" s="605"/>
      <c r="H95" s="605"/>
      <c r="I95" s="606"/>
      <c r="J95" s="231"/>
      <c r="K95" s="601" t="s">
        <v>169</v>
      </c>
      <c r="L95" s="602"/>
      <c r="M95" s="925"/>
      <c r="N95" s="926"/>
      <c r="O95" s="927"/>
      <c r="P95" s="603" t="s">
        <v>169</v>
      </c>
      <c r="Q95" s="602"/>
      <c r="R95" s="239"/>
      <c r="S95" s="242" t="s">
        <v>169</v>
      </c>
      <c r="T95" s="240" t="s">
        <v>169</v>
      </c>
    </row>
    <row r="96" spans="4:20" x14ac:dyDescent="0.25">
      <c r="D96" s="206">
        <v>4</v>
      </c>
      <c r="E96" s="207"/>
      <c r="F96" s="604"/>
      <c r="G96" s="605"/>
      <c r="H96" s="605"/>
      <c r="I96" s="606"/>
      <c r="J96" s="231"/>
      <c r="K96" s="601" t="s">
        <v>169</v>
      </c>
      <c r="L96" s="602"/>
      <c r="M96" s="925"/>
      <c r="N96" s="926"/>
      <c r="O96" s="927"/>
      <c r="P96" s="603" t="s">
        <v>169</v>
      </c>
      <c r="Q96" s="602"/>
      <c r="R96" s="239"/>
      <c r="S96" s="242" t="s">
        <v>169</v>
      </c>
      <c r="T96" s="240" t="s">
        <v>169</v>
      </c>
    </row>
    <row r="97" spans="4:20" x14ac:dyDescent="0.25">
      <c r="D97" s="206">
        <v>5</v>
      </c>
      <c r="E97" s="207"/>
      <c r="F97" s="604"/>
      <c r="G97" s="605"/>
      <c r="H97" s="605"/>
      <c r="I97" s="606"/>
      <c r="J97" s="231"/>
      <c r="K97" s="601" t="s">
        <v>169</v>
      </c>
      <c r="L97" s="602"/>
      <c r="M97" s="925"/>
      <c r="N97" s="926"/>
      <c r="O97" s="927"/>
      <c r="P97" s="603" t="s">
        <v>169</v>
      </c>
      <c r="Q97" s="602"/>
      <c r="R97" s="239"/>
      <c r="S97" s="242" t="s">
        <v>169</v>
      </c>
      <c r="T97" s="240" t="s">
        <v>169</v>
      </c>
    </row>
    <row r="98" spans="4:20" x14ac:dyDescent="0.25">
      <c r="D98" s="206">
        <v>6</v>
      </c>
      <c r="E98" s="207"/>
      <c r="F98" s="604"/>
      <c r="G98" s="605"/>
      <c r="H98" s="605"/>
      <c r="I98" s="606"/>
      <c r="J98" s="231"/>
      <c r="K98" s="601" t="s">
        <v>169</v>
      </c>
      <c r="L98" s="602"/>
      <c r="M98" s="925"/>
      <c r="N98" s="926"/>
      <c r="O98" s="927"/>
      <c r="P98" s="603" t="s">
        <v>169</v>
      </c>
      <c r="Q98" s="602"/>
      <c r="R98" s="239"/>
      <c r="S98" s="242" t="s">
        <v>169</v>
      </c>
      <c r="T98" s="240" t="s">
        <v>169</v>
      </c>
    </row>
    <row r="99" spans="4:20" x14ac:dyDescent="0.25">
      <c r="D99" s="206">
        <v>7</v>
      </c>
      <c r="E99" s="207"/>
      <c r="F99" s="604"/>
      <c r="G99" s="605"/>
      <c r="H99" s="605"/>
      <c r="I99" s="606"/>
      <c r="J99" s="231"/>
      <c r="K99" s="601" t="s">
        <v>169</v>
      </c>
      <c r="L99" s="602"/>
      <c r="M99" s="925"/>
      <c r="N99" s="926"/>
      <c r="O99" s="927"/>
      <c r="P99" s="603" t="s">
        <v>169</v>
      </c>
      <c r="Q99" s="602"/>
      <c r="R99" s="239"/>
      <c r="S99" s="242" t="s">
        <v>169</v>
      </c>
      <c r="T99" s="240" t="s">
        <v>169</v>
      </c>
    </row>
    <row r="100" spans="4:20" x14ac:dyDescent="0.25">
      <c r="D100" s="206">
        <v>8</v>
      </c>
      <c r="E100" s="207"/>
      <c r="F100" s="604"/>
      <c r="G100" s="605"/>
      <c r="H100" s="605"/>
      <c r="I100" s="606"/>
      <c r="J100" s="231"/>
      <c r="K100" s="601" t="s">
        <v>169</v>
      </c>
      <c r="L100" s="602"/>
      <c r="M100" s="925"/>
      <c r="N100" s="926"/>
      <c r="O100" s="927"/>
      <c r="P100" s="603" t="s">
        <v>169</v>
      </c>
      <c r="Q100" s="602"/>
      <c r="R100" s="239"/>
      <c r="S100" s="242" t="s">
        <v>169</v>
      </c>
      <c r="T100" s="240" t="s">
        <v>169</v>
      </c>
    </row>
    <row r="101" spans="4:20" x14ac:dyDescent="0.25">
      <c r="D101" s="206">
        <v>9</v>
      </c>
      <c r="E101" s="207"/>
      <c r="F101" s="604"/>
      <c r="G101" s="605"/>
      <c r="H101" s="605"/>
      <c r="I101" s="606"/>
      <c r="J101" s="231"/>
      <c r="K101" s="601" t="s">
        <v>169</v>
      </c>
      <c r="L101" s="602"/>
      <c r="M101" s="925"/>
      <c r="N101" s="926"/>
      <c r="O101" s="927"/>
      <c r="P101" s="603" t="s">
        <v>169</v>
      </c>
      <c r="Q101" s="602"/>
      <c r="R101" s="239"/>
      <c r="S101" s="242" t="s">
        <v>169</v>
      </c>
      <c r="T101" s="240" t="s">
        <v>169</v>
      </c>
    </row>
    <row r="102" spans="4:20" x14ac:dyDescent="0.25">
      <c r="D102" s="206">
        <v>10</v>
      </c>
      <c r="E102" s="207"/>
      <c r="F102" s="604"/>
      <c r="G102" s="605"/>
      <c r="H102" s="605"/>
      <c r="I102" s="606"/>
      <c r="J102" s="231"/>
      <c r="K102" s="601" t="s">
        <v>169</v>
      </c>
      <c r="L102" s="602"/>
      <c r="M102" s="925"/>
      <c r="N102" s="926"/>
      <c r="O102" s="927"/>
      <c r="P102" s="603" t="s">
        <v>169</v>
      </c>
      <c r="Q102" s="602"/>
      <c r="R102" s="239"/>
      <c r="S102" s="242" t="s">
        <v>169</v>
      </c>
      <c r="T102" s="240" t="s">
        <v>169</v>
      </c>
    </row>
    <row r="103" spans="4:20" x14ac:dyDescent="0.25">
      <c r="D103" s="206">
        <v>11</v>
      </c>
      <c r="E103" s="207"/>
      <c r="F103" s="604"/>
      <c r="G103" s="605"/>
      <c r="H103" s="605"/>
      <c r="I103" s="606"/>
      <c r="J103" s="231"/>
      <c r="K103" s="601" t="s">
        <v>169</v>
      </c>
      <c r="L103" s="602"/>
      <c r="M103" s="925"/>
      <c r="N103" s="926"/>
      <c r="O103" s="927"/>
      <c r="P103" s="603" t="s">
        <v>169</v>
      </c>
      <c r="Q103" s="602"/>
      <c r="R103" s="239"/>
      <c r="S103" s="242" t="s">
        <v>169</v>
      </c>
      <c r="T103" s="240" t="s">
        <v>169</v>
      </c>
    </row>
    <row r="104" spans="4:20" x14ac:dyDescent="0.25">
      <c r="D104" s="206">
        <v>12</v>
      </c>
      <c r="E104" s="207"/>
      <c r="F104" s="604"/>
      <c r="G104" s="605"/>
      <c r="H104" s="605"/>
      <c r="I104" s="606"/>
      <c r="J104" s="231"/>
      <c r="K104" s="601" t="s">
        <v>169</v>
      </c>
      <c r="L104" s="602"/>
      <c r="M104" s="925"/>
      <c r="N104" s="926"/>
      <c r="O104" s="927"/>
      <c r="P104" s="603" t="s">
        <v>169</v>
      </c>
      <c r="Q104" s="602"/>
      <c r="R104" s="239"/>
      <c r="S104" s="242" t="s">
        <v>169</v>
      </c>
      <c r="T104" s="240" t="s">
        <v>169</v>
      </c>
    </row>
    <row r="105" spans="4:20" x14ac:dyDescent="0.25">
      <c r="D105" s="206">
        <v>13</v>
      </c>
      <c r="E105" s="207"/>
      <c r="F105" s="604"/>
      <c r="G105" s="605"/>
      <c r="H105" s="605"/>
      <c r="I105" s="606"/>
      <c r="J105" s="231"/>
      <c r="K105" s="601" t="s">
        <v>169</v>
      </c>
      <c r="L105" s="602"/>
      <c r="M105" s="925"/>
      <c r="N105" s="926"/>
      <c r="O105" s="927"/>
      <c r="P105" s="603" t="s">
        <v>169</v>
      </c>
      <c r="Q105" s="602"/>
      <c r="R105" s="239"/>
      <c r="S105" s="242" t="s">
        <v>169</v>
      </c>
      <c r="T105" s="240" t="s">
        <v>169</v>
      </c>
    </row>
    <row r="106" spans="4:20" x14ac:dyDescent="0.25">
      <c r="D106" s="206">
        <v>14</v>
      </c>
      <c r="E106" s="207"/>
      <c r="F106" s="604"/>
      <c r="G106" s="605"/>
      <c r="H106" s="605"/>
      <c r="I106" s="606"/>
      <c r="J106" s="231"/>
      <c r="K106" s="601" t="s">
        <v>169</v>
      </c>
      <c r="L106" s="602"/>
      <c r="M106" s="925"/>
      <c r="N106" s="926"/>
      <c r="O106" s="927"/>
      <c r="P106" s="603" t="s">
        <v>169</v>
      </c>
      <c r="Q106" s="602"/>
      <c r="R106" s="239"/>
      <c r="S106" s="242" t="s">
        <v>169</v>
      </c>
      <c r="T106" s="240" t="s">
        <v>169</v>
      </c>
    </row>
    <row r="107" spans="4:20" x14ac:dyDescent="0.25">
      <c r="D107" s="206">
        <v>15</v>
      </c>
      <c r="E107" s="207"/>
      <c r="F107" s="604"/>
      <c r="G107" s="605"/>
      <c r="H107" s="605"/>
      <c r="I107" s="606"/>
      <c r="J107" s="231"/>
      <c r="K107" s="601" t="s">
        <v>169</v>
      </c>
      <c r="L107" s="602"/>
      <c r="M107" s="925"/>
      <c r="N107" s="926"/>
      <c r="O107" s="927"/>
      <c r="P107" s="603" t="s">
        <v>169</v>
      </c>
      <c r="Q107" s="602"/>
      <c r="R107" s="239"/>
      <c r="S107" s="242" t="s">
        <v>169</v>
      </c>
      <c r="T107" s="240" t="s">
        <v>169</v>
      </c>
    </row>
    <row r="108" spans="4:20" x14ac:dyDescent="0.25">
      <c r="D108" s="206">
        <v>16</v>
      </c>
      <c r="E108" s="207"/>
      <c r="F108" s="604"/>
      <c r="G108" s="605"/>
      <c r="H108" s="605"/>
      <c r="I108" s="606"/>
      <c r="J108" s="231"/>
      <c r="K108" s="601" t="s">
        <v>169</v>
      </c>
      <c r="L108" s="602"/>
      <c r="M108" s="925"/>
      <c r="N108" s="926"/>
      <c r="O108" s="927"/>
      <c r="P108" s="603" t="s">
        <v>169</v>
      </c>
      <c r="Q108" s="602"/>
      <c r="R108" s="239"/>
      <c r="S108" s="242" t="s">
        <v>169</v>
      </c>
      <c r="T108" s="240" t="s">
        <v>169</v>
      </c>
    </row>
    <row r="109" spans="4:20" ht="3.6" customHeight="1" thickBot="1" x14ac:dyDescent="0.3">
      <c r="D109" s="208"/>
      <c r="E109" s="209"/>
      <c r="F109" s="615"/>
      <c r="G109" s="616"/>
      <c r="H109" s="616"/>
      <c r="I109" s="617"/>
      <c r="J109" s="231"/>
      <c r="K109" s="618" t="s">
        <v>169</v>
      </c>
      <c r="L109" s="619"/>
      <c r="M109" s="620"/>
      <c r="N109" s="621"/>
      <c r="O109" s="233"/>
      <c r="P109" s="620" t="s">
        <v>169</v>
      </c>
      <c r="Q109" s="619"/>
      <c r="R109" s="239"/>
      <c r="S109" s="243" t="s">
        <v>169</v>
      </c>
      <c r="T109" s="241" t="s">
        <v>169</v>
      </c>
    </row>
    <row r="110" spans="4:20" ht="5.45" customHeight="1" thickTop="1" thickBot="1" x14ac:dyDescent="0.3">
      <c r="D110" s="48"/>
      <c r="E110" s="48"/>
      <c r="F110" s="48"/>
      <c r="G110" s="48"/>
      <c r="H110" s="48"/>
      <c r="I110" s="48"/>
      <c r="J110" s="48"/>
      <c r="K110" s="48"/>
      <c r="L110" s="48"/>
      <c r="M110" s="48"/>
      <c r="N110" s="48"/>
      <c r="O110" s="48"/>
      <c r="P110" s="48"/>
      <c r="Q110" s="48"/>
      <c r="R110" s="48"/>
      <c r="S110" s="48"/>
      <c r="T110" s="48"/>
    </row>
    <row r="111" spans="4:20" ht="31.5" customHeight="1" thickBot="1" x14ac:dyDescent="0.3">
      <c r="D111" s="633" t="s">
        <v>149</v>
      </c>
      <c r="E111" s="633"/>
      <c r="F111" s="403" t="s">
        <v>1339</v>
      </c>
      <c r="G111" s="404"/>
      <c r="H111" s="404"/>
      <c r="I111" s="404"/>
      <c r="J111" s="404"/>
      <c r="K111" s="404"/>
      <c r="L111" s="404"/>
      <c r="M111" s="404"/>
      <c r="N111" s="404"/>
      <c r="O111" s="404"/>
      <c r="P111" s="404"/>
      <c r="Q111" s="404"/>
      <c r="R111" s="404"/>
      <c r="S111" s="404"/>
      <c r="T111" s="405"/>
    </row>
    <row r="112" spans="4:20" s="6" customFormat="1" ht="5.45" customHeight="1" x14ac:dyDescent="0.25">
      <c r="D112" s="44"/>
      <c r="E112" s="45"/>
      <c r="F112" s="46"/>
      <c r="G112" s="46"/>
      <c r="H112" s="46"/>
      <c r="I112" s="46"/>
      <c r="J112" s="47"/>
      <c r="K112" s="47"/>
      <c r="L112" s="47"/>
      <c r="M112" s="47"/>
      <c r="N112" s="47"/>
      <c r="O112" s="47"/>
      <c r="P112" s="47"/>
      <c r="Q112" s="47"/>
      <c r="R112" s="47"/>
      <c r="S112" s="47"/>
      <c r="T112" s="47"/>
    </row>
    <row r="113" spans="4:20" s="6" customFormat="1" ht="26.25" customHeight="1" x14ac:dyDescent="0.25">
      <c r="D113" s="136">
        <v>11</v>
      </c>
      <c r="E113" s="669" t="s">
        <v>1340</v>
      </c>
      <c r="F113" s="669"/>
      <c r="G113" s="669"/>
      <c r="H113" s="669"/>
      <c r="I113" s="669"/>
      <c r="J113" s="669"/>
      <c r="K113" s="669"/>
      <c r="L113" s="669"/>
      <c r="M113" s="669"/>
      <c r="N113" s="669"/>
      <c r="O113" s="669"/>
      <c r="P113" s="669"/>
      <c r="Q113" s="669"/>
      <c r="R113" s="223"/>
      <c r="S113" s="137">
        <v>11</v>
      </c>
      <c r="T113" s="326"/>
    </row>
    <row r="114" spans="4:20" s="6" customFormat="1" ht="6" customHeight="1" x14ac:dyDescent="0.25">
      <c r="D114" s="29"/>
      <c r="E114" s="29"/>
      <c r="F114" s="20"/>
      <c r="G114" s="20"/>
      <c r="H114" s="20"/>
      <c r="I114" s="20"/>
      <c r="J114" s="20"/>
      <c r="K114" s="20"/>
      <c r="L114" s="17"/>
      <c r="M114" s="20"/>
      <c r="N114" s="20"/>
      <c r="O114" s="17"/>
      <c r="P114" s="17"/>
      <c r="Q114" s="17"/>
      <c r="R114" s="17"/>
      <c r="S114" s="17"/>
      <c r="T114" s="17"/>
    </row>
    <row r="115" spans="4:20" s="6" customFormat="1" ht="17.45" customHeight="1" x14ac:dyDescent="0.25">
      <c r="D115" s="136">
        <v>12</v>
      </c>
      <c r="E115" s="669" t="s">
        <v>229</v>
      </c>
      <c r="F115" s="669"/>
      <c r="G115" s="669"/>
      <c r="H115" s="669"/>
      <c r="I115" s="669"/>
      <c r="J115" s="669"/>
      <c r="K115" s="669"/>
      <c r="L115" s="669"/>
      <c r="M115" s="669"/>
      <c r="N115" s="669"/>
      <c r="O115" s="669"/>
      <c r="P115" s="669"/>
      <c r="Q115" s="669"/>
      <c r="R115" s="223"/>
      <c r="S115" s="137">
        <v>12</v>
      </c>
      <c r="T115" s="326"/>
    </row>
    <row r="116" spans="4:20" ht="5.45" customHeight="1" x14ac:dyDescent="0.25">
      <c r="D116" s="139"/>
      <c r="E116" s="183"/>
      <c r="F116" s="183"/>
      <c r="G116" s="183"/>
      <c r="H116" s="183"/>
      <c r="I116" s="183"/>
      <c r="J116" s="183"/>
      <c r="K116" s="183"/>
      <c r="L116" s="183"/>
      <c r="M116" s="183"/>
      <c r="N116" s="183"/>
      <c r="O116" s="183"/>
      <c r="P116" s="183"/>
      <c r="Q116" s="183"/>
      <c r="R116" s="183"/>
      <c r="S116" s="140"/>
      <c r="T116" s="140"/>
    </row>
    <row r="117" spans="4:20" s="6" customFormat="1" ht="17.45" customHeight="1" x14ac:dyDescent="0.25">
      <c r="D117" s="136">
        <v>13</v>
      </c>
      <c r="E117" s="670" t="s">
        <v>1235</v>
      </c>
      <c r="F117" s="670"/>
      <c r="G117" s="670"/>
      <c r="H117" s="670"/>
      <c r="I117" s="670"/>
      <c r="J117" s="670"/>
      <c r="K117" s="670"/>
      <c r="L117" s="670"/>
      <c r="M117" s="670"/>
      <c r="N117" s="670"/>
      <c r="O117" s="670"/>
      <c r="P117" s="670"/>
      <c r="Q117" s="670"/>
      <c r="R117" s="222"/>
      <c r="S117" s="137">
        <v>13</v>
      </c>
      <c r="T117" s="129" t="s">
        <v>169</v>
      </c>
    </row>
    <row r="118" spans="4:20" s="6" customFormat="1" ht="10.5" customHeight="1" x14ac:dyDescent="0.25">
      <c r="D118" s="136"/>
      <c r="E118" s="670"/>
      <c r="F118" s="670"/>
      <c r="G118" s="670"/>
      <c r="H118" s="670"/>
      <c r="I118" s="670"/>
      <c r="J118" s="670"/>
      <c r="K118" s="670"/>
      <c r="L118" s="670"/>
      <c r="M118" s="670"/>
      <c r="N118" s="670"/>
      <c r="O118" s="670"/>
      <c r="P118" s="670"/>
      <c r="Q118" s="670"/>
      <c r="R118" s="222"/>
      <c r="S118" s="137"/>
      <c r="T118" s="137"/>
    </row>
    <row r="119" spans="4:20" ht="31.5" customHeight="1" thickBot="1" x14ac:dyDescent="0.3">
      <c r="D119" s="656" t="s">
        <v>1343</v>
      </c>
      <c r="E119" s="656"/>
      <c r="F119" s="656"/>
      <c r="G119" s="656"/>
      <c r="H119" s="656"/>
      <c r="I119" s="656"/>
      <c r="J119" s="656"/>
      <c r="K119" s="656"/>
      <c r="L119" s="656"/>
      <c r="M119" s="656"/>
      <c r="N119" s="656"/>
      <c r="O119" s="656"/>
      <c r="P119" s="656"/>
      <c r="Q119" s="656"/>
      <c r="R119" s="656"/>
      <c r="S119" s="656"/>
      <c r="T119" s="656"/>
    </row>
    <row r="120" spans="4:20" ht="5.45" customHeight="1" thickTop="1" thickBot="1" x14ac:dyDescent="0.3">
      <c r="D120" s="48"/>
      <c r="E120" s="48"/>
      <c r="F120" s="48"/>
      <c r="G120" s="48"/>
      <c r="H120" s="48"/>
      <c r="I120" s="48"/>
      <c r="J120" s="48"/>
      <c r="K120" s="48"/>
      <c r="L120" s="48"/>
      <c r="M120" s="48"/>
      <c r="N120" s="48"/>
      <c r="O120" s="48"/>
      <c r="P120" s="48"/>
      <c r="Q120" s="48"/>
      <c r="R120" s="48"/>
      <c r="S120" s="48"/>
      <c r="T120" s="48"/>
    </row>
    <row r="121" spans="4:20" ht="28.15" customHeight="1" thickTop="1" thickBot="1" x14ac:dyDescent="0.3">
      <c r="D121" s="628" t="s">
        <v>230</v>
      </c>
      <c r="E121" s="629"/>
      <c r="F121" s="629"/>
      <c r="G121" s="629"/>
      <c r="H121" s="629"/>
      <c r="I121" s="630"/>
      <c r="J121" s="232"/>
      <c r="K121" s="631" t="s">
        <v>231</v>
      </c>
      <c r="L121" s="632"/>
      <c r="M121" s="632"/>
      <c r="N121" s="632"/>
      <c r="O121" s="632"/>
      <c r="P121" s="632"/>
      <c r="Q121" s="632"/>
      <c r="R121" s="236"/>
      <c r="S121" s="641" t="s">
        <v>281</v>
      </c>
      <c r="T121" s="637"/>
    </row>
    <row r="122" spans="4:20" ht="33" customHeight="1" x14ac:dyDescent="0.25">
      <c r="D122" s="204" t="s">
        <v>232</v>
      </c>
      <c r="E122" s="205" t="s">
        <v>233</v>
      </c>
      <c r="F122" s="622" t="s">
        <v>234</v>
      </c>
      <c r="G122" s="623"/>
      <c r="H122" s="623"/>
      <c r="I122" s="624"/>
      <c r="J122" s="230"/>
      <c r="K122" s="625" t="s">
        <v>1342</v>
      </c>
      <c r="L122" s="626"/>
      <c r="M122" s="626" t="s">
        <v>235</v>
      </c>
      <c r="N122" s="626"/>
      <c r="O122" s="210" t="s">
        <v>236</v>
      </c>
      <c r="P122" s="626" t="s">
        <v>280</v>
      </c>
      <c r="Q122" s="627"/>
      <c r="R122" s="238"/>
      <c r="S122" s="234" t="s">
        <v>1344</v>
      </c>
      <c r="T122" s="211" t="s">
        <v>1345</v>
      </c>
    </row>
    <row r="123" spans="4:20" x14ac:dyDescent="0.25">
      <c r="D123" s="206">
        <v>1</v>
      </c>
      <c r="E123" s="207"/>
      <c r="F123" s="604"/>
      <c r="G123" s="605"/>
      <c r="H123" s="605"/>
      <c r="I123" s="606"/>
      <c r="J123" s="231"/>
      <c r="K123" s="601" t="s">
        <v>169</v>
      </c>
      <c r="L123" s="602"/>
      <c r="M123" s="925"/>
      <c r="N123" s="926"/>
      <c r="O123" s="927"/>
      <c r="P123" s="603" t="s">
        <v>169</v>
      </c>
      <c r="Q123" s="602"/>
      <c r="R123" s="239"/>
      <c r="S123" s="242" t="s">
        <v>169</v>
      </c>
      <c r="T123" s="240" t="s">
        <v>169</v>
      </c>
    </row>
    <row r="124" spans="4:20" x14ac:dyDescent="0.25">
      <c r="D124" s="206">
        <v>2</v>
      </c>
      <c r="E124" s="207"/>
      <c r="F124" s="604"/>
      <c r="G124" s="605"/>
      <c r="H124" s="605"/>
      <c r="I124" s="606"/>
      <c r="J124" s="231"/>
      <c r="K124" s="601" t="s">
        <v>169</v>
      </c>
      <c r="L124" s="602"/>
      <c r="M124" s="925"/>
      <c r="N124" s="926"/>
      <c r="O124" s="927"/>
      <c r="P124" s="603" t="s">
        <v>169</v>
      </c>
      <c r="Q124" s="602"/>
      <c r="R124" s="239"/>
      <c r="S124" s="242" t="s">
        <v>169</v>
      </c>
      <c r="T124" s="240" t="s">
        <v>169</v>
      </c>
    </row>
    <row r="125" spans="4:20" x14ac:dyDescent="0.25">
      <c r="D125" s="206">
        <v>3</v>
      </c>
      <c r="E125" s="207"/>
      <c r="F125" s="604"/>
      <c r="G125" s="605"/>
      <c r="H125" s="605"/>
      <c r="I125" s="606"/>
      <c r="J125" s="231"/>
      <c r="K125" s="601" t="s">
        <v>169</v>
      </c>
      <c r="L125" s="602"/>
      <c r="M125" s="925"/>
      <c r="N125" s="926"/>
      <c r="O125" s="927"/>
      <c r="P125" s="603" t="s">
        <v>169</v>
      </c>
      <c r="Q125" s="602"/>
      <c r="R125" s="239"/>
      <c r="S125" s="242" t="s">
        <v>169</v>
      </c>
      <c r="T125" s="240" t="s">
        <v>169</v>
      </c>
    </row>
    <row r="126" spans="4:20" x14ac:dyDescent="0.25">
      <c r="D126" s="206">
        <v>4</v>
      </c>
      <c r="E126" s="207"/>
      <c r="F126" s="604"/>
      <c r="G126" s="605"/>
      <c r="H126" s="605"/>
      <c r="I126" s="606"/>
      <c r="J126" s="231"/>
      <c r="K126" s="601" t="s">
        <v>169</v>
      </c>
      <c r="L126" s="602"/>
      <c r="M126" s="925"/>
      <c r="N126" s="926"/>
      <c r="O126" s="927"/>
      <c r="P126" s="603" t="s">
        <v>169</v>
      </c>
      <c r="Q126" s="602"/>
      <c r="R126" s="239"/>
      <c r="S126" s="242" t="s">
        <v>169</v>
      </c>
      <c r="T126" s="240" t="s">
        <v>169</v>
      </c>
    </row>
    <row r="127" spans="4:20" x14ac:dyDescent="0.25">
      <c r="D127" s="206">
        <v>5</v>
      </c>
      <c r="E127" s="207"/>
      <c r="F127" s="604"/>
      <c r="G127" s="605"/>
      <c r="H127" s="605"/>
      <c r="I127" s="606"/>
      <c r="J127" s="231"/>
      <c r="K127" s="601" t="s">
        <v>169</v>
      </c>
      <c r="L127" s="602"/>
      <c r="M127" s="925"/>
      <c r="N127" s="926"/>
      <c r="O127" s="927"/>
      <c r="P127" s="603" t="s">
        <v>169</v>
      </c>
      <c r="Q127" s="602"/>
      <c r="R127" s="239"/>
      <c r="S127" s="242" t="s">
        <v>169</v>
      </c>
      <c r="T127" s="240" t="s">
        <v>169</v>
      </c>
    </row>
    <row r="128" spans="4:20" x14ac:dyDescent="0.25">
      <c r="D128" s="206">
        <v>6</v>
      </c>
      <c r="E128" s="207"/>
      <c r="F128" s="604"/>
      <c r="G128" s="605"/>
      <c r="H128" s="605"/>
      <c r="I128" s="606"/>
      <c r="J128" s="231"/>
      <c r="K128" s="601" t="s">
        <v>169</v>
      </c>
      <c r="L128" s="602"/>
      <c r="M128" s="925"/>
      <c r="N128" s="926"/>
      <c r="O128" s="927"/>
      <c r="P128" s="603" t="s">
        <v>169</v>
      </c>
      <c r="Q128" s="602"/>
      <c r="R128" s="239"/>
      <c r="S128" s="242" t="s">
        <v>169</v>
      </c>
      <c r="T128" s="240" t="s">
        <v>169</v>
      </c>
    </row>
    <row r="129" spans="4:20" x14ac:dyDescent="0.25">
      <c r="D129" s="206">
        <v>7</v>
      </c>
      <c r="E129" s="207"/>
      <c r="F129" s="604"/>
      <c r="G129" s="605"/>
      <c r="H129" s="605"/>
      <c r="I129" s="606"/>
      <c r="J129" s="231"/>
      <c r="K129" s="601" t="s">
        <v>169</v>
      </c>
      <c r="L129" s="602"/>
      <c r="M129" s="925"/>
      <c r="N129" s="926"/>
      <c r="O129" s="927"/>
      <c r="P129" s="603" t="s">
        <v>169</v>
      </c>
      <c r="Q129" s="602"/>
      <c r="R129" s="239"/>
      <c r="S129" s="242" t="s">
        <v>169</v>
      </c>
      <c r="T129" s="240" t="s">
        <v>169</v>
      </c>
    </row>
    <row r="130" spans="4:20" x14ac:dyDescent="0.25">
      <c r="D130" s="206">
        <v>8</v>
      </c>
      <c r="E130" s="207"/>
      <c r="F130" s="604"/>
      <c r="G130" s="605"/>
      <c r="H130" s="605"/>
      <c r="I130" s="606"/>
      <c r="J130" s="231"/>
      <c r="K130" s="601" t="s">
        <v>169</v>
      </c>
      <c r="L130" s="602"/>
      <c r="M130" s="925"/>
      <c r="N130" s="926"/>
      <c r="O130" s="927"/>
      <c r="P130" s="603" t="s">
        <v>169</v>
      </c>
      <c r="Q130" s="602"/>
      <c r="R130" s="239"/>
      <c r="S130" s="242" t="s">
        <v>169</v>
      </c>
      <c r="T130" s="240" t="s">
        <v>169</v>
      </c>
    </row>
    <row r="131" spans="4:20" x14ac:dyDescent="0.25">
      <c r="D131" s="206">
        <v>9</v>
      </c>
      <c r="E131" s="207"/>
      <c r="F131" s="604"/>
      <c r="G131" s="605"/>
      <c r="H131" s="605"/>
      <c r="I131" s="606"/>
      <c r="J131" s="231"/>
      <c r="K131" s="601" t="s">
        <v>169</v>
      </c>
      <c r="L131" s="602"/>
      <c r="M131" s="925"/>
      <c r="N131" s="926"/>
      <c r="O131" s="927"/>
      <c r="P131" s="603" t="s">
        <v>169</v>
      </c>
      <c r="Q131" s="602"/>
      <c r="R131" s="239"/>
      <c r="S131" s="242" t="s">
        <v>169</v>
      </c>
      <c r="T131" s="240" t="s">
        <v>169</v>
      </c>
    </row>
    <row r="132" spans="4:20" x14ac:dyDescent="0.25">
      <c r="D132" s="206">
        <v>10</v>
      </c>
      <c r="E132" s="207"/>
      <c r="F132" s="364"/>
      <c r="G132" s="365"/>
      <c r="H132" s="365"/>
      <c r="I132" s="366"/>
      <c r="J132" s="231"/>
      <c r="K132" s="601" t="s">
        <v>169</v>
      </c>
      <c r="L132" s="602"/>
      <c r="M132" s="928"/>
      <c r="N132" s="929"/>
      <c r="O132" s="927"/>
      <c r="P132" s="603" t="s">
        <v>169</v>
      </c>
      <c r="Q132" s="602"/>
      <c r="R132" s="239"/>
      <c r="S132" s="242" t="s">
        <v>169</v>
      </c>
      <c r="T132" s="240" t="s">
        <v>169</v>
      </c>
    </row>
    <row r="133" spans="4:20" x14ac:dyDescent="0.25">
      <c r="D133" s="206">
        <v>11</v>
      </c>
      <c r="E133" s="207"/>
      <c r="F133" s="364"/>
      <c r="G133" s="365"/>
      <c r="H133" s="365"/>
      <c r="I133" s="366"/>
      <c r="J133" s="231"/>
      <c r="K133" s="601" t="s">
        <v>169</v>
      </c>
      <c r="L133" s="602"/>
      <c r="M133" s="928"/>
      <c r="N133" s="929"/>
      <c r="O133" s="927"/>
      <c r="P133" s="603" t="s">
        <v>169</v>
      </c>
      <c r="Q133" s="602"/>
      <c r="R133" s="239"/>
      <c r="S133" s="242" t="s">
        <v>169</v>
      </c>
      <c r="T133" s="240" t="s">
        <v>169</v>
      </c>
    </row>
    <row r="134" spans="4:20" x14ac:dyDescent="0.25">
      <c r="D134" s="206">
        <v>12</v>
      </c>
      <c r="E134" s="207"/>
      <c r="F134" s="364"/>
      <c r="G134" s="365"/>
      <c r="H134" s="365"/>
      <c r="I134" s="366"/>
      <c r="J134" s="231"/>
      <c r="K134" s="601" t="s">
        <v>169</v>
      </c>
      <c r="L134" s="602"/>
      <c r="M134" s="928"/>
      <c r="N134" s="929"/>
      <c r="O134" s="927"/>
      <c r="P134" s="603" t="s">
        <v>169</v>
      </c>
      <c r="Q134" s="602"/>
      <c r="R134" s="239"/>
      <c r="S134" s="242" t="s">
        <v>169</v>
      </c>
      <c r="T134" s="240" t="s">
        <v>169</v>
      </c>
    </row>
    <row r="135" spans="4:20" x14ac:dyDescent="0.25">
      <c r="D135" s="206">
        <v>13</v>
      </c>
      <c r="E135" s="207"/>
      <c r="F135" s="364"/>
      <c r="G135" s="365"/>
      <c r="H135" s="365"/>
      <c r="I135" s="366"/>
      <c r="J135" s="231"/>
      <c r="K135" s="601" t="s">
        <v>169</v>
      </c>
      <c r="L135" s="602"/>
      <c r="M135" s="928"/>
      <c r="N135" s="929"/>
      <c r="O135" s="927"/>
      <c r="P135" s="603" t="s">
        <v>169</v>
      </c>
      <c r="Q135" s="602"/>
      <c r="R135" s="239"/>
      <c r="S135" s="242" t="s">
        <v>169</v>
      </c>
      <c r="T135" s="240" t="s">
        <v>169</v>
      </c>
    </row>
    <row r="136" spans="4:20" x14ac:dyDescent="0.25">
      <c r="D136" s="206">
        <v>14</v>
      </c>
      <c r="E136" s="207"/>
      <c r="F136" s="364"/>
      <c r="G136" s="365"/>
      <c r="H136" s="365"/>
      <c r="I136" s="366"/>
      <c r="J136" s="231"/>
      <c r="K136" s="601" t="s">
        <v>169</v>
      </c>
      <c r="L136" s="602"/>
      <c r="M136" s="928"/>
      <c r="N136" s="929"/>
      <c r="O136" s="927"/>
      <c r="P136" s="603" t="s">
        <v>169</v>
      </c>
      <c r="Q136" s="602"/>
      <c r="R136" s="239"/>
      <c r="S136" s="242" t="s">
        <v>169</v>
      </c>
      <c r="T136" s="240" t="s">
        <v>169</v>
      </c>
    </row>
    <row r="137" spans="4:20" x14ac:dyDescent="0.25">
      <c r="D137" s="206">
        <v>15</v>
      </c>
      <c r="E137" s="207"/>
      <c r="F137" s="604"/>
      <c r="G137" s="605"/>
      <c r="H137" s="605"/>
      <c r="I137" s="606"/>
      <c r="J137" s="231"/>
      <c r="K137" s="601" t="s">
        <v>169</v>
      </c>
      <c r="L137" s="602"/>
      <c r="M137" s="925"/>
      <c r="N137" s="926"/>
      <c r="O137" s="927"/>
      <c r="P137" s="603" t="s">
        <v>169</v>
      </c>
      <c r="Q137" s="602"/>
      <c r="R137" s="239"/>
      <c r="S137" s="242" t="s">
        <v>169</v>
      </c>
      <c r="T137" s="240" t="s">
        <v>169</v>
      </c>
    </row>
    <row r="138" spans="4:20" ht="3.6" customHeight="1" thickBot="1" x14ac:dyDescent="0.3">
      <c r="D138" s="208"/>
      <c r="E138" s="209"/>
      <c r="F138" s="615"/>
      <c r="G138" s="616"/>
      <c r="H138" s="616"/>
      <c r="I138" s="617"/>
      <c r="J138" s="231"/>
      <c r="K138" s="618" t="s">
        <v>169</v>
      </c>
      <c r="L138" s="619"/>
      <c r="M138" s="620"/>
      <c r="N138" s="621"/>
      <c r="O138" s="233"/>
      <c r="P138" s="620" t="s">
        <v>169</v>
      </c>
      <c r="Q138" s="619"/>
      <c r="R138" s="239"/>
      <c r="S138" s="243" t="s">
        <v>169</v>
      </c>
      <c r="T138" s="241" t="s">
        <v>169</v>
      </c>
    </row>
    <row r="139" spans="4:20" ht="5.45" customHeight="1" thickTop="1" thickBot="1" x14ac:dyDescent="0.3">
      <c r="D139" s="48"/>
      <c r="E139" s="48"/>
      <c r="F139" s="48"/>
      <c r="G139" s="48"/>
      <c r="H139" s="48"/>
      <c r="I139" s="48"/>
      <c r="J139" s="48"/>
      <c r="K139" s="48"/>
      <c r="L139" s="48"/>
      <c r="M139" s="48"/>
      <c r="N139" s="48"/>
      <c r="O139" s="48"/>
      <c r="P139" s="48"/>
      <c r="Q139" s="48"/>
      <c r="R139" s="48"/>
      <c r="S139" s="48"/>
      <c r="T139" s="48"/>
    </row>
    <row r="140" spans="4:20" ht="30.75" customHeight="1" thickBot="1" x14ac:dyDescent="0.3">
      <c r="D140" s="633" t="s">
        <v>299</v>
      </c>
      <c r="E140" s="633"/>
      <c r="F140" s="667" t="s">
        <v>332</v>
      </c>
      <c r="G140" s="667"/>
      <c r="H140" s="667"/>
      <c r="I140" s="667"/>
      <c r="J140" s="667"/>
      <c r="K140" s="667"/>
      <c r="L140" s="667"/>
      <c r="M140" s="667"/>
      <c r="N140" s="667"/>
      <c r="O140" s="667"/>
      <c r="P140" s="667"/>
      <c r="Q140" s="667"/>
      <c r="R140" s="667"/>
      <c r="S140" s="667"/>
      <c r="T140" s="668"/>
    </row>
    <row r="141" spans="4:20" s="6" customFormat="1" ht="5.45" customHeight="1" thickBot="1" x14ac:dyDescent="0.3">
      <c r="D141" s="44"/>
      <c r="E141" s="45"/>
      <c r="F141" s="46"/>
      <c r="G141" s="46"/>
      <c r="H141" s="46"/>
      <c r="I141" s="46"/>
      <c r="J141" s="47"/>
      <c r="K141" s="47"/>
      <c r="L141" s="47"/>
      <c r="M141" s="47"/>
      <c r="N141" s="47"/>
      <c r="O141" s="47"/>
      <c r="P141" s="47"/>
      <c r="Q141" s="47"/>
      <c r="R141" s="47"/>
      <c r="S141" s="47"/>
      <c r="T141" s="47"/>
    </row>
    <row r="142" spans="4:20" ht="228" customHeight="1" thickTop="1" thickBot="1" x14ac:dyDescent="0.3">
      <c r="D142" s="657"/>
      <c r="E142" s="658"/>
      <c r="F142" s="658"/>
      <c r="G142" s="658"/>
      <c r="H142" s="658"/>
      <c r="I142" s="658"/>
      <c r="J142" s="658"/>
      <c r="K142" s="658"/>
      <c r="L142" s="658"/>
      <c r="M142" s="658"/>
      <c r="N142" s="658"/>
      <c r="O142" s="658"/>
      <c r="P142" s="658"/>
      <c r="Q142" s="658"/>
      <c r="R142" s="658"/>
      <c r="S142" s="658"/>
      <c r="T142" s="659"/>
    </row>
    <row r="143" spans="4:20" ht="9" customHeight="1" thickTop="1" thickBot="1" x14ac:dyDescent="0.3">
      <c r="D143"/>
      <c r="E143"/>
      <c r="F143"/>
      <c r="G143"/>
      <c r="H143"/>
      <c r="I143"/>
      <c r="J143"/>
      <c r="K143"/>
      <c r="L143"/>
      <c r="M143"/>
      <c r="N143"/>
      <c r="O143"/>
      <c r="P143"/>
      <c r="Q143"/>
      <c r="R143"/>
      <c r="S143"/>
      <c r="T143"/>
    </row>
    <row r="144" spans="4:20" ht="18" customHeight="1" thickBot="1" x14ac:dyDescent="0.3">
      <c r="D144" s="662" t="s">
        <v>241</v>
      </c>
      <c r="E144" s="663"/>
      <c r="F144" s="664"/>
      <c r="G144" s="665"/>
      <c r="H144" s="665"/>
      <c r="I144" s="666"/>
      <c r="J144"/>
      <c r="K144" s="611" t="s">
        <v>184</v>
      </c>
      <c r="L144" s="611"/>
      <c r="M144" s="611"/>
      <c r="N144" s="611"/>
      <c r="O144" s="612"/>
      <c r="P144" s="613"/>
      <c r="Q144" s="613"/>
      <c r="R144" s="613"/>
      <c r="S144" s="614"/>
      <c r="T144"/>
    </row>
    <row r="145" spans="4:29" ht="7.9" customHeight="1" thickBot="1" x14ac:dyDescent="0.3">
      <c r="D145"/>
      <c r="E145"/>
      <c r="F145"/>
      <c r="G145"/>
      <c r="H145"/>
      <c r="I145"/>
      <c r="J145"/>
      <c r="K145"/>
      <c r="L145"/>
      <c r="M145"/>
      <c r="N145"/>
      <c r="O145"/>
      <c r="P145"/>
      <c r="Q145"/>
      <c r="R145"/>
      <c r="S145"/>
      <c r="T145"/>
    </row>
    <row r="146" spans="4:29" ht="21" customHeight="1" thickBot="1" x14ac:dyDescent="0.3">
      <c r="D146"/>
      <c r="E146" s="187" t="s">
        <v>152</v>
      </c>
      <c r="F146" s="664"/>
      <c r="G146" s="665"/>
      <c r="H146" s="665"/>
      <c r="I146" s="666"/>
      <c r="J146"/>
      <c r="K146"/>
      <c r="L146"/>
      <c r="M146"/>
      <c r="N146"/>
      <c r="O146"/>
      <c r="P146"/>
      <c r="Q146"/>
      <c r="R146"/>
      <c r="S146"/>
      <c r="T146"/>
    </row>
    <row r="147" spans="4:29" ht="6" customHeight="1" thickBot="1" x14ac:dyDescent="0.3">
      <c r="D147"/>
      <c r="E147"/>
      <c r="F147"/>
      <c r="G147"/>
      <c r="H147"/>
      <c r="I147"/>
      <c r="J147"/>
      <c r="K147"/>
      <c r="L147"/>
      <c r="M147"/>
      <c r="N147"/>
      <c r="O147"/>
      <c r="P147"/>
      <c r="Q147"/>
      <c r="R147"/>
      <c r="S147"/>
      <c r="T147"/>
    </row>
    <row r="148" spans="4:29" ht="17.45" customHeight="1" thickBot="1" x14ac:dyDescent="0.3">
      <c r="D148"/>
      <c r="E148" s="187" t="s">
        <v>51</v>
      </c>
      <c r="F148" s="660"/>
      <c r="G148" s="661"/>
      <c r="H148"/>
      <c r="I148"/>
      <c r="J148"/>
      <c r="K148"/>
      <c r="L148"/>
      <c r="M148"/>
      <c r="N148"/>
      <c r="O148"/>
      <c r="P148"/>
      <c r="Q148"/>
      <c r="R148"/>
      <c r="S148"/>
      <c r="T148"/>
    </row>
    <row r="149" spans="4:29" x14ac:dyDescent="0.25">
      <c r="D149"/>
      <c r="E149"/>
      <c r="F149"/>
      <c r="G149"/>
      <c r="H149"/>
      <c r="I149"/>
      <c r="J149"/>
      <c r="K149"/>
      <c r="L149"/>
      <c r="M149"/>
      <c r="N149"/>
      <c r="O149"/>
      <c r="P149"/>
      <c r="Q149"/>
      <c r="R149"/>
      <c r="S149"/>
      <c r="T149"/>
    </row>
    <row r="150" spans="4:29" x14ac:dyDescent="0.25">
      <c r="D150" s="15"/>
      <c r="E150" s="15"/>
      <c r="F150" s="202"/>
      <c r="G150" s="202"/>
      <c r="H150" s="202"/>
      <c r="I150" s="202"/>
      <c r="J150" s="202"/>
      <c r="K150" s="202"/>
      <c r="L150" s="16"/>
      <c r="M150" s="16"/>
      <c r="N150" s="16"/>
      <c r="O150" s="121"/>
      <c r="P150" s="121"/>
      <c r="Q150" s="122"/>
      <c r="R150" s="122"/>
      <c r="S150" s="122"/>
      <c r="T150" s="16"/>
      <c r="U150" s="16"/>
      <c r="V150" s="16"/>
      <c r="W150" s="16"/>
      <c r="X150" s="16"/>
      <c r="Y150" s="15"/>
      <c r="Z150" s="15"/>
      <c r="AA150" s="15"/>
      <c r="AB150" s="15"/>
      <c r="AC150" s="15"/>
    </row>
    <row r="151" spans="4:29" x14ac:dyDescent="0.25">
      <c r="D151" s="15"/>
      <c r="E151" s="15"/>
      <c r="F151" s="202"/>
      <c r="G151" s="202"/>
      <c r="H151" s="202"/>
      <c r="I151" s="202"/>
      <c r="J151" s="202"/>
      <c r="K151" s="202"/>
      <c r="L151" s="16"/>
      <c r="M151" s="16"/>
      <c r="N151" s="16"/>
      <c r="O151" s="121"/>
      <c r="P151" s="121"/>
      <c r="Q151" s="122"/>
      <c r="R151" s="122"/>
      <c r="S151" s="122"/>
      <c r="T151" s="16"/>
      <c r="U151" s="16"/>
      <c r="V151" s="16"/>
      <c r="W151" s="16"/>
      <c r="X151" s="16"/>
      <c r="Y151" s="15"/>
      <c r="Z151" s="15"/>
      <c r="AA151" s="15"/>
      <c r="AB151" s="15"/>
      <c r="AC151" s="15"/>
    </row>
    <row r="152" spans="4:29" x14ac:dyDescent="0.25">
      <c r="U152" s="16"/>
      <c r="V152" s="16"/>
      <c r="W152" s="16"/>
      <c r="X152" s="16"/>
    </row>
    <row r="153" spans="4:29" x14ac:dyDescent="0.25">
      <c r="U153" s="16"/>
      <c r="V153" s="16"/>
      <c r="W153" s="16"/>
      <c r="X153" s="16"/>
    </row>
    <row r="154" spans="4:29" x14ac:dyDescent="0.25">
      <c r="U154" s="16"/>
      <c r="V154" s="16"/>
      <c r="W154" s="16"/>
      <c r="X154" s="16"/>
    </row>
    <row r="155" spans="4:29" x14ac:dyDescent="0.25">
      <c r="U155" s="16"/>
      <c r="V155" s="16"/>
      <c r="W155" s="16"/>
      <c r="X155" s="16"/>
    </row>
  </sheetData>
  <sheetProtection algorithmName="SHA-512" hashValue="y/8GmaiA7Ju7Smy9OjwEuNHZ0UhE0Z349NHaN5R8glnFb8B91LyJKioOJg46w3R+tEtB3SR5VNmOUAlBLZ0vzg==" saltValue="2v2f4eSLLbTKRA8bR3rUAg==" spinCount="100000" sheet="1" selectLockedCells="1"/>
  <mergeCells count="329">
    <mergeCell ref="F131:I131"/>
    <mergeCell ref="K131:L131"/>
    <mergeCell ref="M131:N131"/>
    <mergeCell ref="P131:Q131"/>
    <mergeCell ref="F137:I137"/>
    <mergeCell ref="K137:L137"/>
    <mergeCell ref="M137:N137"/>
    <mergeCell ref="P137:Q137"/>
    <mergeCell ref="F138:I138"/>
    <mergeCell ref="K138:L138"/>
    <mergeCell ref="M138:N138"/>
    <mergeCell ref="P138:Q138"/>
    <mergeCell ref="K132:L132"/>
    <mergeCell ref="K133:L133"/>
    <mergeCell ref="K134:L134"/>
    <mergeCell ref="K135:L135"/>
    <mergeCell ref="K136:L136"/>
    <mergeCell ref="P132:Q132"/>
    <mergeCell ref="P133:Q133"/>
    <mergeCell ref="P134:Q134"/>
    <mergeCell ref="P135:Q135"/>
    <mergeCell ref="P136:Q136"/>
    <mergeCell ref="F128:I128"/>
    <mergeCell ref="K128:L128"/>
    <mergeCell ref="M128:N128"/>
    <mergeCell ref="P128:Q128"/>
    <mergeCell ref="F129:I129"/>
    <mergeCell ref="K129:L129"/>
    <mergeCell ref="M129:N129"/>
    <mergeCell ref="P129:Q129"/>
    <mergeCell ref="F130:I130"/>
    <mergeCell ref="K130:L130"/>
    <mergeCell ref="M130:N130"/>
    <mergeCell ref="P130:Q130"/>
    <mergeCell ref="F125:I125"/>
    <mergeCell ref="K125:L125"/>
    <mergeCell ref="M125:N125"/>
    <mergeCell ref="P125:Q125"/>
    <mergeCell ref="F126:I126"/>
    <mergeCell ref="K126:L126"/>
    <mergeCell ref="M126:N126"/>
    <mergeCell ref="P126:Q126"/>
    <mergeCell ref="F127:I127"/>
    <mergeCell ref="K127:L127"/>
    <mergeCell ref="M127:N127"/>
    <mergeCell ref="P127:Q127"/>
    <mergeCell ref="F122:I122"/>
    <mergeCell ref="K122:L122"/>
    <mergeCell ref="M122:N122"/>
    <mergeCell ref="P122:Q122"/>
    <mergeCell ref="F123:I123"/>
    <mergeCell ref="K123:L123"/>
    <mergeCell ref="M123:N123"/>
    <mergeCell ref="P123:Q123"/>
    <mergeCell ref="F124:I124"/>
    <mergeCell ref="K124:L124"/>
    <mergeCell ref="M124:N124"/>
    <mergeCell ref="P124:Q124"/>
    <mergeCell ref="D111:E111"/>
    <mergeCell ref="F111:T111"/>
    <mergeCell ref="E113:Q113"/>
    <mergeCell ref="E115:Q115"/>
    <mergeCell ref="E117:Q118"/>
    <mergeCell ref="D119:T119"/>
    <mergeCell ref="D121:I121"/>
    <mergeCell ref="K121:Q121"/>
    <mergeCell ref="S121:T121"/>
    <mergeCell ref="D142:T142"/>
    <mergeCell ref="F148:G148"/>
    <mergeCell ref="D144:E144"/>
    <mergeCell ref="F144:I144"/>
    <mergeCell ref="F146:I146"/>
    <mergeCell ref="K77:L77"/>
    <mergeCell ref="M74:N74"/>
    <mergeCell ref="M75:N75"/>
    <mergeCell ref="M76:N76"/>
    <mergeCell ref="M77:N77"/>
    <mergeCell ref="D140:E140"/>
    <mergeCell ref="F140:T140"/>
    <mergeCell ref="E83:Q83"/>
    <mergeCell ref="E85:Q85"/>
    <mergeCell ref="E87:Q88"/>
    <mergeCell ref="D89:T89"/>
    <mergeCell ref="F79:I79"/>
    <mergeCell ref="K79:L79"/>
    <mergeCell ref="M79:N79"/>
    <mergeCell ref="P78:Q78"/>
    <mergeCell ref="P79:Q79"/>
    <mergeCell ref="F78:I78"/>
    <mergeCell ref="F81:T81"/>
    <mergeCell ref="S91:T91"/>
    <mergeCell ref="P70:Q70"/>
    <mergeCell ref="P71:Q71"/>
    <mergeCell ref="P72:Q72"/>
    <mergeCell ref="P73:Q73"/>
    <mergeCell ref="P74:Q74"/>
    <mergeCell ref="P75:Q75"/>
    <mergeCell ref="P76:Q76"/>
    <mergeCell ref="P77:Q77"/>
    <mergeCell ref="F74:I74"/>
    <mergeCell ref="F75:I75"/>
    <mergeCell ref="F76:I76"/>
    <mergeCell ref="F77:I77"/>
    <mergeCell ref="K74:L74"/>
    <mergeCell ref="K75:L75"/>
    <mergeCell ref="K76:L76"/>
    <mergeCell ref="F70:I70"/>
    <mergeCell ref="F71:I71"/>
    <mergeCell ref="F72:I72"/>
    <mergeCell ref="M70:N70"/>
    <mergeCell ref="M71:N71"/>
    <mergeCell ref="M72:N72"/>
    <mergeCell ref="M73:N73"/>
    <mergeCell ref="F42:I42"/>
    <mergeCell ref="K42:L42"/>
    <mergeCell ref="M42:N42"/>
    <mergeCell ref="P42:Q42"/>
    <mergeCell ref="D59:E59"/>
    <mergeCell ref="F59:T59"/>
    <mergeCell ref="E61:Q61"/>
    <mergeCell ref="E63:Q63"/>
    <mergeCell ref="D65:T65"/>
    <mergeCell ref="F43:I43"/>
    <mergeCell ref="K43:L43"/>
    <mergeCell ref="M43:N43"/>
    <mergeCell ref="P43:Q43"/>
    <mergeCell ref="F44:I44"/>
    <mergeCell ref="K44:L44"/>
    <mergeCell ref="M44:N44"/>
    <mergeCell ref="P44:Q44"/>
    <mergeCell ref="F45:I45"/>
    <mergeCell ref="K45:L45"/>
    <mergeCell ref="M45:N45"/>
    <mergeCell ref="P45:Q45"/>
    <mergeCell ref="F49:I49"/>
    <mergeCell ref="K49:L49"/>
    <mergeCell ref="M49:N49"/>
    <mergeCell ref="F41:I41"/>
    <mergeCell ref="K41:L41"/>
    <mergeCell ref="M41:N41"/>
    <mergeCell ref="P41:Q41"/>
    <mergeCell ref="D27:E27"/>
    <mergeCell ref="F27:T27"/>
    <mergeCell ref="E29:Q29"/>
    <mergeCell ref="E31:Q31"/>
    <mergeCell ref="D33:T33"/>
    <mergeCell ref="P38:Q38"/>
    <mergeCell ref="F39:I39"/>
    <mergeCell ref="D4:F6"/>
    <mergeCell ref="Q4:T4"/>
    <mergeCell ref="Q5:T6"/>
    <mergeCell ref="Q7:T7"/>
    <mergeCell ref="H6:O6"/>
    <mergeCell ref="H4:O5"/>
    <mergeCell ref="D17:I17"/>
    <mergeCell ref="D13:T14"/>
    <mergeCell ref="K40:L40"/>
    <mergeCell ref="M40:N40"/>
    <mergeCell ref="P40:Q40"/>
    <mergeCell ref="D18:T18"/>
    <mergeCell ref="E19:Q20"/>
    <mergeCell ref="E22:Q22"/>
    <mergeCell ref="E24:Q25"/>
    <mergeCell ref="K39:L39"/>
    <mergeCell ref="M39:N39"/>
    <mergeCell ref="P39:Q39"/>
    <mergeCell ref="F40:I40"/>
    <mergeCell ref="D9:E9"/>
    <mergeCell ref="F9:I9"/>
    <mergeCell ref="S9:T9"/>
    <mergeCell ref="D10:I10"/>
    <mergeCell ref="Q10:S10"/>
    <mergeCell ref="D11:E11"/>
    <mergeCell ref="F11:J11"/>
    <mergeCell ref="K72:L72"/>
    <mergeCell ref="K73:L73"/>
    <mergeCell ref="K78:L78"/>
    <mergeCell ref="M78:N78"/>
    <mergeCell ref="D81:E81"/>
    <mergeCell ref="D2:F2"/>
    <mergeCell ref="S67:T67"/>
    <mergeCell ref="K67:Q67"/>
    <mergeCell ref="D35:I35"/>
    <mergeCell ref="K35:Q35"/>
    <mergeCell ref="S35:T35"/>
    <mergeCell ref="F36:I36"/>
    <mergeCell ref="K36:L36"/>
    <mergeCell ref="M36:N36"/>
    <mergeCell ref="P36:Q36"/>
    <mergeCell ref="F37:I37"/>
    <mergeCell ref="K37:L37"/>
    <mergeCell ref="M37:N37"/>
    <mergeCell ref="P37:Q37"/>
    <mergeCell ref="F38:I38"/>
    <mergeCell ref="K38:L38"/>
    <mergeCell ref="M38:N38"/>
    <mergeCell ref="F98:I98"/>
    <mergeCell ref="K98:L98"/>
    <mergeCell ref="M98:N98"/>
    <mergeCell ref="P98:Q98"/>
    <mergeCell ref="P97:Q97"/>
    <mergeCell ref="P49:Q49"/>
    <mergeCell ref="F57:I57"/>
    <mergeCell ref="K57:L57"/>
    <mergeCell ref="M57:N57"/>
    <mergeCell ref="P57:Q57"/>
    <mergeCell ref="D91:I91"/>
    <mergeCell ref="K91:Q91"/>
    <mergeCell ref="D67:I67"/>
    <mergeCell ref="K68:L68"/>
    <mergeCell ref="F68:I68"/>
    <mergeCell ref="F69:I69"/>
    <mergeCell ref="K69:L69"/>
    <mergeCell ref="M68:N68"/>
    <mergeCell ref="P68:Q68"/>
    <mergeCell ref="M69:N69"/>
    <mergeCell ref="P69:Q69"/>
    <mergeCell ref="F73:I73"/>
    <mergeCell ref="K70:L70"/>
    <mergeCell ref="K71:L71"/>
    <mergeCell ref="F95:I95"/>
    <mergeCell ref="K95:L95"/>
    <mergeCell ref="M95:N95"/>
    <mergeCell ref="P95:Q95"/>
    <mergeCell ref="F96:I96"/>
    <mergeCell ref="K96:L96"/>
    <mergeCell ref="M96:N96"/>
    <mergeCell ref="P96:Q96"/>
    <mergeCell ref="F92:I92"/>
    <mergeCell ref="K92:L92"/>
    <mergeCell ref="M92:N92"/>
    <mergeCell ref="P92:Q92"/>
    <mergeCell ref="F93:I93"/>
    <mergeCell ref="K93:L93"/>
    <mergeCell ref="M93:N93"/>
    <mergeCell ref="P93:Q93"/>
    <mergeCell ref="H3:O3"/>
    <mergeCell ref="J35:J58"/>
    <mergeCell ref="Q3:T3"/>
    <mergeCell ref="K144:N144"/>
    <mergeCell ref="O144:S144"/>
    <mergeCell ref="F109:I109"/>
    <mergeCell ref="K109:L109"/>
    <mergeCell ref="M109:N109"/>
    <mergeCell ref="P109:Q109"/>
    <mergeCell ref="F100:I100"/>
    <mergeCell ref="K100:L100"/>
    <mergeCell ref="M100:N100"/>
    <mergeCell ref="P100:Q100"/>
    <mergeCell ref="F101:I101"/>
    <mergeCell ref="K101:L101"/>
    <mergeCell ref="M101:N101"/>
    <mergeCell ref="P101:Q101"/>
    <mergeCell ref="F108:I108"/>
    <mergeCell ref="K108:L108"/>
    <mergeCell ref="M108:N108"/>
    <mergeCell ref="P108:Q108"/>
    <mergeCell ref="F97:I97"/>
    <mergeCell ref="K97:L97"/>
    <mergeCell ref="M97:N97"/>
    <mergeCell ref="F51:I51"/>
    <mergeCell ref="K51:L51"/>
    <mergeCell ref="M51:N51"/>
    <mergeCell ref="P51:Q51"/>
    <mergeCell ref="F46:I46"/>
    <mergeCell ref="K46:L46"/>
    <mergeCell ref="M46:N46"/>
    <mergeCell ref="P46:Q46"/>
    <mergeCell ref="F47:I47"/>
    <mergeCell ref="K47:L47"/>
    <mergeCell ref="M47:N47"/>
    <mergeCell ref="P47:Q47"/>
    <mergeCell ref="F48:I48"/>
    <mergeCell ref="K48:L48"/>
    <mergeCell ref="M48:N48"/>
    <mergeCell ref="P48:Q48"/>
    <mergeCell ref="F50:I50"/>
    <mergeCell ref="K50:L50"/>
    <mergeCell ref="M50:N50"/>
    <mergeCell ref="P50:Q50"/>
    <mergeCell ref="F52:I52"/>
    <mergeCell ref="K52:L52"/>
    <mergeCell ref="M52:N52"/>
    <mergeCell ref="P52:Q52"/>
    <mergeCell ref="F102:I102"/>
    <mergeCell ref="K102:L102"/>
    <mergeCell ref="M102:N102"/>
    <mergeCell ref="P102:Q102"/>
    <mergeCell ref="F103:I103"/>
    <mergeCell ref="K103:L103"/>
    <mergeCell ref="M103:N103"/>
    <mergeCell ref="P103:Q103"/>
    <mergeCell ref="F56:I56"/>
    <mergeCell ref="K56:L56"/>
    <mergeCell ref="M56:N56"/>
    <mergeCell ref="P56:Q56"/>
    <mergeCell ref="F99:I99"/>
    <mergeCell ref="K99:L99"/>
    <mergeCell ref="M99:N99"/>
    <mergeCell ref="P99:Q99"/>
    <mergeCell ref="F94:I94"/>
    <mergeCell ref="K94:L94"/>
    <mergeCell ref="M94:N94"/>
    <mergeCell ref="P94:Q94"/>
    <mergeCell ref="F107:I107"/>
    <mergeCell ref="K107:L107"/>
    <mergeCell ref="M107:N107"/>
    <mergeCell ref="P107:Q107"/>
    <mergeCell ref="F104:I104"/>
    <mergeCell ref="K104:L104"/>
    <mergeCell ref="M104:N104"/>
    <mergeCell ref="P104:Q104"/>
    <mergeCell ref="F105:I105"/>
    <mergeCell ref="K105:L105"/>
    <mergeCell ref="M105:N105"/>
    <mergeCell ref="P105:Q105"/>
    <mergeCell ref="F106:I106"/>
    <mergeCell ref="K106:L106"/>
    <mergeCell ref="M106:N106"/>
    <mergeCell ref="P106:Q106"/>
    <mergeCell ref="K53:L53"/>
    <mergeCell ref="M53:N53"/>
    <mergeCell ref="P53:Q53"/>
    <mergeCell ref="K54:L54"/>
    <mergeCell ref="M54:N54"/>
    <mergeCell ref="P54:Q54"/>
    <mergeCell ref="K55:L55"/>
    <mergeCell ref="M55:N55"/>
    <mergeCell ref="P55:Q55"/>
  </mergeCells>
  <conditionalFormatting sqref="K17">
    <cfRule type="cellIs" dxfId="20" priority="1" operator="equal">
      <formula>"✔"</formula>
    </cfRule>
    <cfRule type="cellIs" dxfId="19" priority="2" operator="equal">
      <formula>"✖"</formula>
    </cfRule>
    <cfRule type="expression" dxfId="18" priority="3">
      <formula>StartDate+0=TODAY()</formula>
    </cfRule>
  </conditionalFormatting>
  <conditionalFormatting sqref="M17">
    <cfRule type="cellIs" dxfId="17" priority="7" operator="equal">
      <formula>"✔"</formula>
    </cfRule>
    <cfRule type="cellIs" dxfId="16" priority="8" operator="equal">
      <formula>"✖"</formula>
    </cfRule>
    <cfRule type="expression" dxfId="15" priority="9">
      <formula>StartDate+0=TODAY()</formula>
    </cfRule>
  </conditionalFormatting>
  <conditionalFormatting sqref="P17">
    <cfRule type="cellIs" dxfId="14" priority="10" operator="equal">
      <formula>"✔"</formula>
    </cfRule>
    <cfRule type="cellIs" dxfId="13" priority="11" operator="equal">
      <formula>"✖"</formula>
    </cfRule>
    <cfRule type="expression" dxfId="12" priority="12">
      <formula>StartDate+0=TODAY()</formula>
    </cfRule>
  </conditionalFormatting>
  <printOptions horizontalCentered="1"/>
  <pageMargins left="0.25" right="0.25" top="0.75" bottom="0.75" header="0.3" footer="0.3"/>
  <pageSetup scale="82" orientation="portrait" r:id="rId1"/>
  <headerFooter differentFirst="1">
    <oddHeader>&amp;LAnnual Owner Certification (AOC) Report
PART B - Exhibit A &amp;"-,Italic"cont'd</oddHeader>
    <oddFooter>&amp;C&amp;P of &amp;P&amp;RMHC Rev. 03/2025</oddFooter>
  </headerFooter>
  <rowBreaks count="2" manualBreakCount="2">
    <brk id="58" min="3" max="19" man="1"/>
    <brk id="110" min="3"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15</xdr:col>
                    <xdr:colOff>57150</xdr:colOff>
                    <xdr:row>15</xdr:row>
                    <xdr:rowOff>28575</xdr:rowOff>
                  </from>
                  <to>
                    <xdr:col>16</xdr:col>
                    <xdr:colOff>123825</xdr:colOff>
                    <xdr:row>17</xdr:row>
                    <xdr:rowOff>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13</xdr:col>
                    <xdr:colOff>0</xdr:colOff>
                    <xdr:row>15</xdr:row>
                    <xdr:rowOff>28575</xdr:rowOff>
                  </from>
                  <to>
                    <xdr:col>13</xdr:col>
                    <xdr:colOff>266700</xdr:colOff>
                    <xdr:row>17</xdr:row>
                    <xdr:rowOff>0</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10</xdr:col>
                    <xdr:colOff>38100</xdr:colOff>
                    <xdr:row>15</xdr:row>
                    <xdr:rowOff>28575</xdr:rowOff>
                  </from>
                  <to>
                    <xdr:col>11</xdr:col>
                    <xdr:colOff>123825</xdr:colOff>
                    <xdr:row>17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31941344-D8A7-4F86-83EA-50A6D7A7E803}">
          <x14:formula1>
            <xm:f>CODES!$C$5:$C$10</xm:f>
          </x14:formula1>
          <xm:sqref>T69:T78 T37:T56 T93:T108 T123:T137</xm:sqref>
        </x14:dataValidation>
        <x14:dataValidation type="list" allowBlank="1" showInputMessage="1" showErrorMessage="1" xr:uid="{00000000-0002-0000-0700-000000000000}">
          <x14:formula1>
            <xm:f>CODES!$A$5:$A$8</xm:f>
          </x14:formula1>
          <xm:sqref>P69:S79 K69:L79 P37:S57 K123:L138 K93:L109 P93:S109 K37:L57 P123:S138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553BD-AAE3-45AE-91AF-A14F059DDFDC}">
  <sheetPr codeName="Sheet10">
    <tabColor theme="3" tint="0.749992370372631"/>
  </sheetPr>
  <dimension ref="C2:AB74"/>
  <sheetViews>
    <sheetView showGridLines="0" zoomScaleNormal="100" workbookViewId="0">
      <selection activeCell="M24" sqref="M24"/>
    </sheetView>
  </sheetViews>
  <sheetFormatPr defaultColWidth="8.85546875" defaultRowHeight="15" x14ac:dyDescent="0.25"/>
  <cols>
    <col min="1" max="2" width="3" style="3" customWidth="1"/>
    <col min="3" max="3" width="51.42578125" style="3" customWidth="1"/>
    <col min="4" max="4" width="2" style="3" customWidth="1"/>
    <col min="5" max="5" width="5.42578125" style="3" customWidth="1"/>
    <col min="6" max="6" width="3.28515625" style="3" customWidth="1"/>
    <col min="7" max="7" width="4.7109375" style="3" customWidth="1"/>
    <col min="8" max="19" width="10.140625" style="3" customWidth="1"/>
    <col min="20" max="20" width="11.28515625" style="3" customWidth="1"/>
    <col min="21" max="21" width="1.140625" style="3" customWidth="1"/>
    <col min="22" max="22" width="4.140625" style="3" customWidth="1"/>
    <col min="23" max="24" width="3.7109375" style="3" customWidth="1"/>
    <col min="25" max="25" width="0.7109375" style="3" customWidth="1"/>
    <col min="26" max="26" width="3.28515625" style="3" customWidth="1"/>
    <col min="27" max="27" width="1" style="3" customWidth="1"/>
    <col min="28" max="28" width="3.28515625" style="118" customWidth="1"/>
    <col min="29" max="29" width="8.85546875" style="3"/>
    <col min="30" max="30" width="3.42578125" style="3" customWidth="1"/>
    <col min="31" max="31" width="1.7109375" style="3" customWidth="1"/>
    <col min="32" max="32" width="3.42578125" style="3" customWidth="1"/>
    <col min="33" max="33" width="1.7109375" style="3" customWidth="1"/>
    <col min="34" max="34" width="3.42578125" style="3" customWidth="1"/>
    <col min="35" max="16384" width="8.85546875" style="3"/>
  </cols>
  <sheetData>
    <row r="2" spans="5:28" s="6" customFormat="1" ht="20.25" customHeight="1" x14ac:dyDescent="0.25">
      <c r="E2" s="703" t="s">
        <v>289</v>
      </c>
      <c r="F2" s="703"/>
      <c r="G2" s="703"/>
      <c r="H2" s="703"/>
      <c r="I2" s="703"/>
      <c r="J2" s="17"/>
      <c r="K2" s="17"/>
      <c r="L2" s="17"/>
      <c r="M2" s="17"/>
      <c r="N2" s="17"/>
      <c r="O2" s="17"/>
      <c r="P2" s="17"/>
      <c r="Q2" s="17"/>
      <c r="R2" s="17"/>
      <c r="S2" s="17"/>
      <c r="T2" s="17"/>
      <c r="U2" s="17"/>
      <c r="V2" s="17"/>
      <c r="W2" s="17"/>
      <c r="X2" s="17"/>
      <c r="Y2" s="17"/>
      <c r="Z2" s="17"/>
      <c r="AA2" s="17"/>
      <c r="AB2" s="20"/>
    </row>
    <row r="3" spans="5:28" s="6" customFormat="1" ht="23.45" customHeight="1" x14ac:dyDescent="0.25">
      <c r="E3" s="572"/>
      <c r="F3" s="572"/>
      <c r="G3" s="572"/>
      <c r="H3" s="572"/>
      <c r="I3" s="573"/>
      <c r="J3" s="562" t="s">
        <v>293</v>
      </c>
      <c r="K3" s="562"/>
      <c r="L3" s="562"/>
      <c r="M3" s="562"/>
      <c r="N3" s="562"/>
      <c r="O3" s="562"/>
      <c r="P3" s="562"/>
      <c r="Q3" s="562"/>
      <c r="R3" s="562"/>
      <c r="S3" s="562"/>
      <c r="T3" s="704"/>
      <c r="U3" s="413" t="s">
        <v>1240</v>
      </c>
      <c r="V3" s="414"/>
      <c r="W3" s="414"/>
      <c r="X3" s="414"/>
      <c r="Y3" s="414"/>
      <c r="Z3" s="414"/>
      <c r="AA3" s="414"/>
      <c r="AB3" s="414"/>
    </row>
    <row r="4" spans="5:28" s="6" customFormat="1" ht="13.9" customHeight="1" x14ac:dyDescent="0.25">
      <c r="E4" s="572"/>
      <c r="F4" s="572"/>
      <c r="G4" s="572"/>
      <c r="H4" s="572"/>
      <c r="I4" s="573"/>
      <c r="J4" s="705"/>
      <c r="K4" s="705"/>
      <c r="L4" s="705"/>
      <c r="M4" s="705"/>
      <c r="N4" s="705"/>
      <c r="O4" s="705"/>
      <c r="P4" s="705"/>
      <c r="Q4" s="705"/>
      <c r="R4" s="705"/>
      <c r="S4" s="705"/>
      <c r="T4" s="706"/>
      <c r="U4" s="17"/>
      <c r="V4" s="417">
        <v>2024</v>
      </c>
      <c r="W4" s="417"/>
      <c r="X4" s="417"/>
      <c r="Y4" s="417"/>
      <c r="Z4" s="417"/>
      <c r="AA4" s="417"/>
      <c r="AB4" s="417"/>
    </row>
    <row r="5" spans="5:28" s="6" customFormat="1" ht="22.15" customHeight="1" x14ac:dyDescent="0.4">
      <c r="E5" s="126"/>
      <c r="F5" s="126"/>
      <c r="G5" s="126"/>
      <c r="H5" s="126"/>
      <c r="I5" s="126"/>
      <c r="J5" s="707" t="s">
        <v>295</v>
      </c>
      <c r="K5" s="708"/>
      <c r="L5" s="708"/>
      <c r="M5" s="708"/>
      <c r="N5" s="708"/>
      <c r="O5" s="708"/>
      <c r="P5" s="708"/>
      <c r="Q5" s="708"/>
      <c r="R5" s="708"/>
      <c r="S5" s="708"/>
      <c r="T5" s="709"/>
      <c r="U5" s="17"/>
      <c r="V5" s="419"/>
      <c r="W5" s="419"/>
      <c r="X5" s="419"/>
      <c r="Y5" s="419"/>
      <c r="Z5" s="419"/>
      <c r="AA5" s="419"/>
      <c r="AB5" s="419"/>
    </row>
    <row r="6" spans="5:28" s="6" customFormat="1" ht="30.6" customHeight="1" thickBot="1" x14ac:dyDescent="0.3">
      <c r="E6" s="127"/>
      <c r="F6" s="127"/>
      <c r="G6" s="17"/>
      <c r="H6" s="17"/>
      <c r="I6" s="17"/>
      <c r="J6" s="559" t="s">
        <v>1247</v>
      </c>
      <c r="K6" s="560"/>
      <c r="L6" s="560"/>
      <c r="M6" s="560"/>
      <c r="N6" s="560"/>
      <c r="O6" s="560"/>
      <c r="P6" s="560"/>
      <c r="Q6" s="560"/>
      <c r="R6" s="560"/>
      <c r="S6" s="560"/>
      <c r="T6" s="561"/>
      <c r="U6" s="423" t="s">
        <v>1</v>
      </c>
      <c r="V6" s="424"/>
      <c r="W6" s="424"/>
      <c r="X6" s="424"/>
      <c r="Y6" s="424"/>
      <c r="Z6" s="424"/>
      <c r="AA6" s="424"/>
      <c r="AB6" s="424"/>
    </row>
    <row r="7" spans="5:28" s="6" customFormat="1" ht="4.1500000000000004" customHeight="1" x14ac:dyDescent="0.25">
      <c r="E7" s="42"/>
      <c r="F7" s="42"/>
      <c r="G7" s="42"/>
      <c r="H7" s="42"/>
      <c r="I7" s="42"/>
      <c r="J7" s="42"/>
      <c r="K7" s="42"/>
      <c r="L7" s="42"/>
      <c r="M7" s="42"/>
      <c r="N7" s="42"/>
      <c r="O7" s="42"/>
      <c r="P7" s="42"/>
      <c r="Q7" s="42"/>
      <c r="R7" s="42"/>
      <c r="S7" s="42"/>
      <c r="T7" s="42"/>
      <c r="U7" s="42"/>
      <c r="V7" s="42"/>
      <c r="W7" s="42"/>
      <c r="X7" s="42"/>
      <c r="Y7" s="42"/>
      <c r="Z7" s="42"/>
      <c r="AA7" s="42"/>
      <c r="AB7" s="128"/>
    </row>
    <row r="8" spans="5:28" s="6" customFormat="1" ht="16.899999999999999" customHeight="1" x14ac:dyDescent="0.25">
      <c r="E8" s="430" t="s">
        <v>2</v>
      </c>
      <c r="F8" s="430"/>
      <c r="G8" s="430"/>
      <c r="H8" s="431"/>
      <c r="I8" s="516" t="s">
        <v>123</v>
      </c>
      <c r="J8" s="566"/>
      <c r="K8" s="566"/>
      <c r="L8" s="517"/>
      <c r="M8" s="29"/>
      <c r="N8" s="29"/>
      <c r="O8" s="17"/>
      <c r="P8" s="17"/>
      <c r="Q8" s="17"/>
      <c r="R8" s="17"/>
      <c r="S8" s="29"/>
      <c r="T8" s="32" t="s">
        <v>3</v>
      </c>
      <c r="U8" s="29"/>
      <c r="V8" s="20" t="s">
        <v>4</v>
      </c>
      <c r="W8" s="516"/>
      <c r="X8" s="566"/>
      <c r="Y8" s="566"/>
      <c r="Z8" s="566"/>
      <c r="AA8" s="566"/>
      <c r="AB8" s="517"/>
    </row>
    <row r="9" spans="5:28" s="6" customFormat="1" ht="7.15" customHeight="1" x14ac:dyDescent="0.25">
      <c r="E9" s="427"/>
      <c r="F9" s="427"/>
      <c r="G9" s="427"/>
      <c r="H9" s="427"/>
      <c r="I9" s="427"/>
      <c r="J9" s="427"/>
      <c r="K9" s="427"/>
      <c r="L9" s="427"/>
      <c r="M9" s="427"/>
      <c r="N9" s="427"/>
      <c r="O9" s="427"/>
      <c r="P9" s="427"/>
      <c r="Q9" s="427"/>
      <c r="R9" s="427"/>
      <c r="S9" s="427"/>
      <c r="T9" s="427"/>
      <c r="U9" s="427"/>
      <c r="V9" s="427"/>
      <c r="W9" s="427"/>
      <c r="X9" s="20"/>
      <c r="Y9" s="20"/>
      <c r="Z9" s="20"/>
      <c r="AA9" s="20"/>
      <c r="AB9" s="20"/>
    </row>
    <row r="10" spans="5:28" s="6" customFormat="1" ht="16.899999999999999" customHeight="1" x14ac:dyDescent="0.25">
      <c r="E10" s="514" t="s">
        <v>118</v>
      </c>
      <c r="F10" s="514"/>
      <c r="G10" s="515"/>
      <c r="H10" s="516"/>
      <c r="I10" s="566"/>
      <c r="J10" s="566"/>
      <c r="K10" s="566"/>
      <c r="L10" s="566"/>
      <c r="M10" s="517"/>
      <c r="N10" s="29"/>
      <c r="O10" s="64" t="s">
        <v>119</v>
      </c>
      <c r="P10" s="516"/>
      <c r="Q10" s="566"/>
      <c r="R10" s="517"/>
      <c r="S10" s="574" t="s">
        <v>120</v>
      </c>
      <c r="T10" s="575"/>
      <c r="U10" s="575"/>
      <c r="V10" s="575"/>
      <c r="W10" s="575"/>
      <c r="X10" s="576"/>
      <c r="Y10" s="29"/>
      <c r="Z10" s="129"/>
      <c r="AA10" s="29"/>
      <c r="AB10" s="130"/>
    </row>
    <row r="11" spans="5:28" s="6" customFormat="1" ht="5.45" customHeight="1" x14ac:dyDescent="0.25">
      <c r="E11" s="29"/>
      <c r="F11" s="29"/>
      <c r="G11" s="29"/>
      <c r="H11" s="29"/>
      <c r="I11" s="29"/>
      <c r="J11" s="29"/>
      <c r="K11" s="29"/>
      <c r="L11" s="29"/>
      <c r="M11" s="29"/>
      <c r="N11" s="29"/>
      <c r="O11" s="29"/>
      <c r="P11" s="29"/>
      <c r="Q11" s="29"/>
      <c r="R11" s="29"/>
      <c r="S11" s="29"/>
      <c r="T11" s="20"/>
      <c r="U11" s="20"/>
      <c r="V11" s="17"/>
      <c r="W11" s="17"/>
      <c r="X11" s="17"/>
      <c r="Y11" s="17"/>
      <c r="Z11" s="17"/>
      <c r="AA11" s="17"/>
      <c r="AB11" s="20"/>
    </row>
    <row r="12" spans="5:28" s="6" customFormat="1" ht="3.6" customHeight="1" thickBot="1" x14ac:dyDescent="0.3">
      <c r="E12" s="17"/>
      <c r="F12" s="17"/>
      <c r="G12" s="17"/>
      <c r="H12" s="17"/>
      <c r="I12" s="17"/>
      <c r="J12" s="17"/>
      <c r="K12" s="17"/>
      <c r="L12" s="17"/>
      <c r="M12" s="17"/>
      <c r="N12" s="17"/>
      <c r="O12" s="17"/>
      <c r="P12" s="17"/>
      <c r="Q12" s="17"/>
      <c r="R12" s="17"/>
      <c r="S12" s="17"/>
      <c r="T12" s="17"/>
      <c r="U12" s="17"/>
      <c r="V12" s="17"/>
      <c r="W12" s="17"/>
      <c r="X12" s="17"/>
      <c r="Y12" s="17"/>
      <c r="Z12" s="17"/>
      <c r="AA12" s="17"/>
      <c r="AB12" s="20"/>
    </row>
    <row r="13" spans="5:28" s="6" customFormat="1" ht="3.6" customHeight="1" x14ac:dyDescent="0.25">
      <c r="E13" s="42"/>
      <c r="F13" s="42"/>
      <c r="G13" s="42"/>
      <c r="H13" s="42"/>
      <c r="I13" s="42"/>
      <c r="J13" s="42"/>
      <c r="K13" s="42"/>
      <c r="L13" s="42"/>
      <c r="M13" s="42"/>
      <c r="N13" s="42"/>
      <c r="O13" s="42"/>
      <c r="P13" s="42"/>
      <c r="Q13" s="42"/>
      <c r="R13" s="42"/>
      <c r="S13" s="42"/>
      <c r="T13" s="42"/>
      <c r="U13" s="42"/>
      <c r="V13" s="42"/>
      <c r="W13" s="42"/>
      <c r="X13" s="42"/>
      <c r="Y13" s="42"/>
      <c r="Z13" s="42"/>
      <c r="AA13" s="42"/>
      <c r="AB13" s="128"/>
    </row>
    <row r="14" spans="5:28" s="6" customFormat="1" ht="25.9" customHeight="1" x14ac:dyDescent="0.25">
      <c r="E14" s="577" t="s">
        <v>292</v>
      </c>
      <c r="F14" s="577"/>
      <c r="G14" s="577"/>
      <c r="H14" s="577"/>
      <c r="I14" s="577"/>
      <c r="J14" s="577"/>
      <c r="K14" s="577"/>
      <c r="L14" s="577"/>
      <c r="M14" s="577"/>
      <c r="N14" s="577"/>
      <c r="O14" s="577"/>
      <c r="P14" s="577"/>
      <c r="Q14" s="577"/>
      <c r="R14" s="577"/>
      <c r="S14" s="577"/>
      <c r="T14" s="577"/>
      <c r="U14" s="577"/>
      <c r="V14" s="577"/>
      <c r="W14" s="577"/>
      <c r="X14" s="577"/>
      <c r="Y14" s="577"/>
      <c r="Z14" s="577"/>
      <c r="AA14" s="577"/>
      <c r="AB14" s="577"/>
    </row>
    <row r="15" spans="5:28" s="6" customFormat="1" ht="7.15" customHeight="1" thickBot="1" x14ac:dyDescent="0.3">
      <c r="E15" s="130"/>
      <c r="F15" s="130"/>
      <c r="G15" s="131"/>
      <c r="H15" s="131"/>
      <c r="I15" s="131"/>
      <c r="J15" s="131"/>
      <c r="K15" s="131"/>
      <c r="L15" s="131"/>
      <c r="M15" s="131"/>
      <c r="N15" s="131"/>
      <c r="O15" s="131"/>
      <c r="P15" s="131"/>
      <c r="Q15" s="131"/>
      <c r="R15" s="131"/>
      <c r="S15" s="131"/>
      <c r="T15" s="131"/>
      <c r="U15" s="131"/>
      <c r="V15" s="131"/>
      <c r="W15" s="130"/>
      <c r="X15" s="130"/>
      <c r="Y15" s="130"/>
      <c r="Z15" s="130"/>
      <c r="AA15" s="130"/>
      <c r="AB15" s="130"/>
    </row>
    <row r="16" spans="5:28" s="6" customFormat="1" ht="20.45" customHeight="1" thickBot="1" x14ac:dyDescent="0.3">
      <c r="E16" s="401" t="s">
        <v>121</v>
      </c>
      <c r="F16" s="558"/>
      <c r="G16" s="558"/>
      <c r="H16" s="403" t="s">
        <v>297</v>
      </c>
      <c r="I16" s="404"/>
      <c r="J16" s="404"/>
      <c r="K16" s="404"/>
      <c r="L16" s="404"/>
      <c r="M16" s="404"/>
      <c r="N16" s="404"/>
      <c r="O16" s="404"/>
      <c r="P16" s="404"/>
      <c r="Q16" s="404"/>
      <c r="R16" s="404"/>
      <c r="S16" s="404"/>
      <c r="T16" s="404"/>
      <c r="U16" s="404"/>
      <c r="V16" s="404"/>
      <c r="W16" s="132"/>
      <c r="X16" s="133"/>
      <c r="Y16" s="133"/>
      <c r="Z16" s="133"/>
      <c r="AA16" s="133"/>
      <c r="AB16" s="134"/>
    </row>
    <row r="17" spans="5:28" s="6" customFormat="1" ht="5.45" customHeight="1" x14ac:dyDescent="0.25">
      <c r="E17" s="44"/>
      <c r="F17" s="44"/>
      <c r="G17" s="44"/>
      <c r="H17" s="44"/>
      <c r="I17" s="44"/>
      <c r="J17" s="44"/>
      <c r="K17" s="44"/>
      <c r="L17" s="44"/>
      <c r="M17" s="44"/>
      <c r="N17" s="44"/>
      <c r="O17" s="44"/>
      <c r="P17" s="44"/>
      <c r="Q17" s="44"/>
      <c r="R17" s="44"/>
      <c r="S17" s="44"/>
      <c r="T17" s="47"/>
      <c r="U17" s="47"/>
      <c r="V17" s="47"/>
      <c r="W17" s="47"/>
      <c r="X17" s="47"/>
      <c r="Y17" s="47"/>
      <c r="Z17" s="47"/>
      <c r="AA17" s="47"/>
      <c r="AB17" s="109"/>
    </row>
    <row r="18" spans="5:28" s="6" customFormat="1" ht="6" customHeight="1" x14ac:dyDescent="0.25">
      <c r="E18" s="136"/>
      <c r="F18" s="136"/>
      <c r="G18" s="522"/>
      <c r="H18" s="522"/>
      <c r="I18" s="522"/>
      <c r="J18" s="522"/>
      <c r="K18" s="522"/>
      <c r="L18" s="522"/>
      <c r="M18" s="522"/>
      <c r="N18" s="522"/>
      <c r="O18" s="522"/>
      <c r="P18" s="522"/>
      <c r="Q18" s="522"/>
      <c r="R18" s="522"/>
      <c r="S18" s="522"/>
      <c r="T18" s="522"/>
      <c r="U18" s="522"/>
      <c r="V18" s="522"/>
      <c r="W18" s="137"/>
      <c r="X18" s="137"/>
      <c r="Y18" s="137"/>
      <c r="Z18" s="137"/>
      <c r="AA18" s="137"/>
      <c r="AB18" s="137"/>
    </row>
    <row r="19" spans="5:28" s="6" customFormat="1" ht="15.6" customHeight="1" x14ac:dyDescent="0.25">
      <c r="E19" s="136"/>
      <c r="F19" s="136"/>
      <c r="G19" s="143"/>
      <c r="H19" s="143"/>
      <c r="I19" s="143"/>
      <c r="J19" s="143"/>
      <c r="K19" s="143"/>
      <c r="L19" s="427"/>
      <c r="M19" s="427"/>
      <c r="N19" s="136"/>
      <c r="O19" s="144"/>
      <c r="P19" s="144"/>
      <c r="Q19" s="144"/>
      <c r="R19" s="144"/>
      <c r="S19" s="689" t="s">
        <v>132</v>
      </c>
      <c r="T19" s="689"/>
      <c r="U19" s="689"/>
      <c r="V19" s="689"/>
      <c r="W19" s="137">
        <v>1</v>
      </c>
      <c r="X19" s="690">
        <v>0</v>
      </c>
      <c r="Y19" s="691"/>
      <c r="Z19" s="691"/>
      <c r="AA19" s="691"/>
      <c r="AB19" s="692"/>
    </row>
    <row r="20" spans="5:28" s="6" customFormat="1" ht="6.75" customHeight="1" thickBot="1" x14ac:dyDescent="0.3">
      <c r="E20" s="29"/>
      <c r="F20" s="29"/>
      <c r="G20" s="29"/>
      <c r="H20" s="29"/>
      <c r="I20" s="29"/>
      <c r="J20" s="29"/>
      <c r="K20" s="29"/>
      <c r="L20" s="29"/>
      <c r="M20" s="29"/>
      <c r="N20" s="29"/>
      <c r="O20" s="29"/>
      <c r="P20" s="29"/>
      <c r="Q20" s="29"/>
      <c r="R20" s="29"/>
      <c r="S20" s="29"/>
      <c r="T20" s="20"/>
      <c r="U20" s="20"/>
      <c r="V20" s="17"/>
      <c r="W20" s="17"/>
      <c r="X20" s="17"/>
      <c r="Y20" s="17"/>
      <c r="Z20" s="17"/>
      <c r="AA20" s="17"/>
      <c r="AB20" s="20"/>
    </row>
    <row r="21" spans="5:28" ht="45.75" customHeight="1" thickTop="1" thickBot="1" x14ac:dyDescent="0.3">
      <c r="E21" s="693" t="s">
        <v>334</v>
      </c>
      <c r="F21" s="694"/>
      <c r="G21" s="694"/>
      <c r="H21" s="694"/>
      <c r="I21" s="694"/>
      <c r="J21" s="694"/>
      <c r="K21" s="694"/>
      <c r="L21" s="694"/>
      <c r="M21" s="694"/>
      <c r="N21" s="694"/>
      <c r="O21" s="694"/>
      <c r="P21" s="694"/>
      <c r="Q21" s="694"/>
      <c r="R21" s="694"/>
      <c r="S21" s="694"/>
      <c r="T21" s="694"/>
      <c r="U21" s="694"/>
      <c r="V21" s="694"/>
      <c r="W21" s="694"/>
      <c r="X21" s="694"/>
      <c r="Y21" s="694"/>
      <c r="Z21" s="694"/>
      <c r="AA21" s="694"/>
      <c r="AB21" s="695"/>
    </row>
    <row r="22" spans="5:28" ht="5.45" customHeight="1" thickBot="1" x14ac:dyDescent="0.3">
      <c r="E22" s="145"/>
      <c r="F22" s="146"/>
      <c r="G22" s="146"/>
      <c r="H22" s="146"/>
      <c r="I22" s="146"/>
      <c r="J22" s="146"/>
      <c r="K22" s="146"/>
      <c r="L22" s="146"/>
      <c r="M22" s="146"/>
      <c r="N22" s="146"/>
      <c r="O22" s="146"/>
      <c r="P22" s="146"/>
      <c r="Q22" s="146"/>
      <c r="R22" s="146"/>
      <c r="S22" s="146"/>
      <c r="T22" s="146"/>
      <c r="U22" s="146"/>
      <c r="V22" s="146"/>
      <c r="W22" s="146"/>
      <c r="X22" s="146"/>
      <c r="Y22" s="146"/>
      <c r="Z22" s="146"/>
      <c r="AA22" s="146"/>
      <c r="AB22" s="147"/>
    </row>
    <row r="23" spans="5:28" ht="13.9" customHeight="1" x14ac:dyDescent="0.25">
      <c r="E23" s="148"/>
      <c r="F23" s="149"/>
      <c r="G23" s="150"/>
      <c r="H23" s="151" t="s">
        <v>133</v>
      </c>
      <c r="I23" s="152" t="s">
        <v>134</v>
      </c>
      <c r="J23" s="152" t="s">
        <v>135</v>
      </c>
      <c r="K23" s="152" t="s">
        <v>333</v>
      </c>
      <c r="L23" s="152" t="s">
        <v>136</v>
      </c>
      <c r="M23" s="152" t="s">
        <v>137</v>
      </c>
      <c r="N23" s="152" t="s">
        <v>138</v>
      </c>
      <c r="O23" s="152" t="s">
        <v>139</v>
      </c>
      <c r="P23" s="152" t="s">
        <v>140</v>
      </c>
      <c r="Q23" s="152" t="s">
        <v>141</v>
      </c>
      <c r="R23" s="152" t="s">
        <v>142</v>
      </c>
      <c r="S23" s="152" t="s">
        <v>143</v>
      </c>
      <c r="T23" s="153" t="s">
        <v>144</v>
      </c>
      <c r="U23" s="148"/>
      <c r="V23" s="149"/>
      <c r="W23" s="696" t="s">
        <v>335</v>
      </c>
      <c r="X23" s="696"/>
      <c r="Y23" s="696"/>
      <c r="Z23" s="696"/>
      <c r="AA23" s="696"/>
      <c r="AB23" s="697"/>
    </row>
    <row r="24" spans="5:28" ht="21.6" customHeight="1" x14ac:dyDescent="0.25">
      <c r="E24" s="698" t="s">
        <v>145</v>
      </c>
      <c r="F24" s="699"/>
      <c r="G24" s="699"/>
      <c r="H24" s="358"/>
      <c r="I24" s="359"/>
      <c r="J24" s="359"/>
      <c r="K24" s="359"/>
      <c r="L24" s="359"/>
      <c r="M24" s="359"/>
      <c r="N24" s="359"/>
      <c r="O24" s="359"/>
      <c r="P24" s="359"/>
      <c r="Q24" s="359"/>
      <c r="R24" s="359"/>
      <c r="S24" s="359"/>
      <c r="T24" s="155">
        <f>SUM(H24:S24)</f>
        <v>0</v>
      </c>
      <c r="U24" s="149"/>
      <c r="V24" s="156"/>
      <c r="W24" s="696"/>
      <c r="X24" s="696"/>
      <c r="Y24" s="696"/>
      <c r="Z24" s="696"/>
      <c r="AA24" s="696"/>
      <c r="AB24" s="697"/>
    </row>
    <row r="25" spans="5:28" s="119" customFormat="1" ht="23.45" customHeight="1" thickBot="1" x14ac:dyDescent="0.3">
      <c r="E25" s="698" t="s">
        <v>146</v>
      </c>
      <c r="F25" s="699"/>
      <c r="G25" s="699"/>
      <c r="H25" s="360">
        <v>0</v>
      </c>
      <c r="I25" s="361">
        <v>0</v>
      </c>
      <c r="J25" s="361">
        <v>0</v>
      </c>
      <c r="K25" s="361">
        <v>0</v>
      </c>
      <c r="L25" s="361">
        <v>0</v>
      </c>
      <c r="M25" s="361">
        <v>0</v>
      </c>
      <c r="N25" s="361">
        <v>0</v>
      </c>
      <c r="O25" s="361">
        <v>0</v>
      </c>
      <c r="P25" s="361">
        <v>0</v>
      </c>
      <c r="Q25" s="361">
        <v>0</v>
      </c>
      <c r="R25" s="361">
        <v>0</v>
      </c>
      <c r="S25" s="361">
        <v>0</v>
      </c>
      <c r="T25" s="157">
        <f>SUM(H25:S25)</f>
        <v>0</v>
      </c>
      <c r="U25" s="158"/>
      <c r="V25" s="158"/>
      <c r="W25" s="696"/>
      <c r="X25" s="696"/>
      <c r="Y25" s="696"/>
      <c r="Z25" s="696"/>
      <c r="AA25" s="696"/>
      <c r="AB25" s="697"/>
    </row>
    <row r="26" spans="5:28" s="119" customFormat="1" ht="10.5" customHeight="1" x14ac:dyDescent="0.25">
      <c r="E26" s="159"/>
      <c r="F26" s="160"/>
      <c r="G26" s="160"/>
      <c r="H26" s="161"/>
      <c r="I26" s="161"/>
      <c r="J26" s="161"/>
      <c r="K26" s="161"/>
      <c r="L26" s="161"/>
      <c r="M26" s="161"/>
      <c r="N26" s="161"/>
      <c r="O26" s="161"/>
      <c r="P26" s="161"/>
      <c r="Q26" s="161"/>
      <c r="R26" s="161"/>
      <c r="S26" s="161"/>
      <c r="T26" s="161"/>
      <c r="U26" s="158"/>
      <c r="V26" s="158"/>
      <c r="W26" s="162"/>
      <c r="X26" s="162"/>
      <c r="Y26" s="162"/>
      <c r="Z26" s="162"/>
      <c r="AA26" s="162"/>
      <c r="AB26" s="154"/>
    </row>
    <row r="27" spans="5:28" ht="6.75" customHeight="1" thickBot="1" x14ac:dyDescent="0.3">
      <c r="E27" s="700"/>
      <c r="F27" s="701"/>
      <c r="G27" s="701"/>
      <c r="H27" s="701"/>
      <c r="I27" s="701"/>
      <c r="J27" s="701"/>
      <c r="K27" s="701"/>
      <c r="L27" s="701"/>
      <c r="M27" s="701"/>
      <c r="N27" s="701"/>
      <c r="O27" s="701"/>
      <c r="P27" s="701"/>
      <c r="Q27" s="701"/>
      <c r="R27" s="701"/>
      <c r="S27" s="701"/>
      <c r="T27" s="701"/>
      <c r="U27" s="701"/>
      <c r="V27" s="701"/>
      <c r="W27" s="701"/>
      <c r="X27" s="701"/>
      <c r="Y27" s="701"/>
      <c r="Z27" s="701"/>
      <c r="AA27" s="701"/>
      <c r="AB27" s="702"/>
    </row>
    <row r="28" spans="5:28" ht="11.45" customHeight="1" x14ac:dyDescent="0.25">
      <c r="E28" s="581"/>
      <c r="F28" s="581"/>
      <c r="G28" s="581"/>
      <c r="H28" s="581"/>
      <c r="I28" s="581"/>
      <c r="J28" s="581"/>
      <c r="K28" s="581"/>
      <c r="L28" s="581"/>
      <c r="M28" s="581"/>
      <c r="N28" s="581"/>
      <c r="O28" s="581"/>
      <c r="P28" s="581"/>
      <c r="Q28" s="581"/>
      <c r="R28" s="581"/>
      <c r="S28" s="581"/>
      <c r="T28" s="581"/>
      <c r="U28" s="581"/>
      <c r="V28" s="581"/>
      <c r="W28" s="581"/>
      <c r="X28" s="581"/>
      <c r="Y28" s="581"/>
      <c r="Z28" s="581"/>
      <c r="AA28" s="581"/>
      <c r="AB28" s="581"/>
    </row>
    <row r="29" spans="5:28" s="6" customFormat="1" ht="9.75" customHeight="1" x14ac:dyDescent="0.25">
      <c r="E29" s="136"/>
      <c r="F29" s="136"/>
      <c r="G29" s="595"/>
      <c r="H29" s="595"/>
      <c r="I29" s="595"/>
      <c r="J29" s="595"/>
      <c r="K29" s="595"/>
      <c r="L29" s="595"/>
      <c r="M29" s="595"/>
      <c r="N29" s="595"/>
      <c r="O29" s="595"/>
      <c r="P29" s="595"/>
      <c r="Q29" s="595"/>
      <c r="R29" s="595"/>
      <c r="S29" s="595"/>
      <c r="T29" s="595"/>
      <c r="U29" s="255"/>
      <c r="V29" s="256"/>
      <c r="W29" s="137"/>
      <c r="X29" s="137"/>
      <c r="Y29" s="137"/>
      <c r="Z29" s="137"/>
      <c r="AA29" s="137"/>
      <c r="AB29" s="137"/>
    </row>
    <row r="30" spans="5:28" s="6" customFormat="1" ht="5.45" customHeight="1" thickBot="1" x14ac:dyDescent="0.3">
      <c r="E30" s="44"/>
      <c r="F30" s="44"/>
      <c r="G30" s="44"/>
      <c r="H30" s="44"/>
      <c r="I30" s="44"/>
      <c r="J30" s="44"/>
      <c r="K30" s="44"/>
      <c r="L30" s="44"/>
      <c r="M30" s="44"/>
      <c r="N30" s="44"/>
      <c r="O30" s="44"/>
      <c r="P30" s="44"/>
      <c r="Q30" s="44"/>
      <c r="R30" s="44"/>
      <c r="S30" s="44"/>
      <c r="T30" s="47"/>
      <c r="U30" s="47"/>
      <c r="V30" s="47"/>
      <c r="W30" s="47"/>
      <c r="X30" s="47"/>
      <c r="Y30" s="47"/>
      <c r="Z30" s="47"/>
      <c r="AA30" s="47"/>
      <c r="AB30" s="109"/>
    </row>
    <row r="31" spans="5:28" ht="20.45" customHeight="1" thickBot="1" x14ac:dyDescent="0.3">
      <c r="E31" s="558" t="s">
        <v>128</v>
      </c>
      <c r="F31" s="558"/>
      <c r="G31" s="558"/>
      <c r="H31" s="403" t="s">
        <v>298</v>
      </c>
      <c r="I31" s="404"/>
      <c r="J31" s="404"/>
      <c r="K31" s="404"/>
      <c r="L31" s="404"/>
      <c r="M31" s="404"/>
      <c r="N31" s="404"/>
      <c r="O31" s="404"/>
      <c r="P31" s="404"/>
      <c r="Q31" s="404"/>
      <c r="R31" s="404"/>
      <c r="S31" s="404"/>
      <c r="T31" s="404"/>
      <c r="U31" s="404"/>
      <c r="V31" s="404"/>
      <c r="W31" s="404"/>
      <c r="X31" s="404"/>
      <c r="Y31" s="404"/>
      <c r="Z31" s="404"/>
      <c r="AA31" s="404"/>
      <c r="AB31" s="404"/>
    </row>
    <row r="32" spans="5:28" s="6" customFormat="1" ht="3.75" customHeight="1" thickBot="1" x14ac:dyDescent="0.3">
      <c r="E32" s="45"/>
      <c r="F32" s="44"/>
      <c r="G32" s="45"/>
      <c r="H32" s="45"/>
      <c r="I32" s="44"/>
      <c r="J32" s="44"/>
      <c r="K32" s="44"/>
      <c r="L32" s="44"/>
      <c r="M32" s="44"/>
      <c r="N32" s="44"/>
      <c r="O32" s="44"/>
      <c r="P32" s="44"/>
      <c r="Q32" s="44"/>
      <c r="R32" s="44"/>
      <c r="S32" s="44"/>
      <c r="T32" s="47"/>
      <c r="U32" s="47"/>
      <c r="V32" s="47"/>
      <c r="W32" s="47"/>
      <c r="X32" s="47"/>
      <c r="Y32" s="47"/>
      <c r="Z32" s="47"/>
      <c r="AA32" s="47"/>
      <c r="AB32" s="164"/>
    </row>
    <row r="33" spans="3:28" ht="10.5" customHeight="1" x14ac:dyDescent="0.25">
      <c r="E33" s="671"/>
      <c r="F33" s="672"/>
      <c r="G33" s="672"/>
      <c r="H33" s="672"/>
      <c r="I33" s="672"/>
      <c r="J33" s="672"/>
      <c r="K33" s="672"/>
      <c r="L33" s="672"/>
      <c r="M33" s="672"/>
      <c r="N33" s="672"/>
      <c r="O33" s="672"/>
      <c r="P33" s="672"/>
      <c r="Q33" s="672"/>
      <c r="R33" s="672"/>
      <c r="S33" s="672"/>
      <c r="T33" s="672"/>
      <c r="U33" s="672"/>
      <c r="V33" s="672"/>
      <c r="W33" s="672"/>
      <c r="X33" s="672"/>
      <c r="Y33" s="672"/>
      <c r="Z33" s="672"/>
      <c r="AA33" s="672"/>
      <c r="AB33" s="673"/>
    </row>
    <row r="34" spans="3:28" ht="27.95" customHeight="1" x14ac:dyDescent="0.25">
      <c r="E34" s="674"/>
      <c r="F34" s="675"/>
      <c r="G34" s="675"/>
      <c r="H34" s="675"/>
      <c r="I34" s="675"/>
      <c r="J34" s="675"/>
      <c r="K34" s="675"/>
      <c r="L34" s="675"/>
      <c r="M34" s="675"/>
      <c r="N34" s="675"/>
      <c r="O34" s="675"/>
      <c r="P34" s="675"/>
      <c r="Q34" s="675"/>
      <c r="R34" s="675"/>
      <c r="S34" s="675"/>
      <c r="T34" s="675"/>
      <c r="U34" s="675"/>
      <c r="V34" s="675"/>
      <c r="W34" s="675"/>
      <c r="X34" s="675"/>
      <c r="Y34" s="675"/>
      <c r="Z34" s="675"/>
      <c r="AA34" s="675"/>
      <c r="AB34" s="676"/>
    </row>
    <row r="35" spans="3:28" ht="27.95" customHeight="1" thickBot="1" x14ac:dyDescent="0.3">
      <c r="E35" s="677"/>
      <c r="F35" s="678"/>
      <c r="G35" s="678"/>
      <c r="H35" s="678"/>
      <c r="I35" s="678"/>
      <c r="J35" s="678"/>
      <c r="K35" s="678"/>
      <c r="L35" s="678"/>
      <c r="M35" s="678"/>
      <c r="N35" s="678"/>
      <c r="O35" s="678"/>
      <c r="P35" s="678"/>
      <c r="Q35" s="678"/>
      <c r="R35" s="678"/>
      <c r="S35" s="678"/>
      <c r="T35" s="678"/>
      <c r="U35" s="678"/>
      <c r="V35" s="678"/>
      <c r="W35" s="678"/>
      <c r="X35" s="678"/>
      <c r="Y35" s="678"/>
      <c r="Z35" s="678"/>
      <c r="AA35" s="678"/>
      <c r="AB35" s="679"/>
    </row>
    <row r="36" spans="3:28" ht="6" customHeight="1" thickBot="1" x14ac:dyDescent="0.3">
      <c r="E36" s="165"/>
      <c r="F36" s="165"/>
      <c r="G36" s="165"/>
      <c r="H36" s="165"/>
      <c r="I36" s="165"/>
      <c r="J36" s="166"/>
      <c r="K36" s="166"/>
      <c r="L36" s="166"/>
      <c r="M36" s="166"/>
      <c r="N36" s="166"/>
      <c r="O36" s="166"/>
      <c r="P36" s="166"/>
      <c r="Q36" s="166"/>
      <c r="R36" s="166"/>
      <c r="S36" s="166"/>
      <c r="T36" s="166"/>
      <c r="U36" s="166"/>
      <c r="V36" s="166"/>
      <c r="W36" s="167"/>
      <c r="X36" s="167"/>
      <c r="Y36" s="167"/>
      <c r="Z36" s="167"/>
      <c r="AA36" s="167"/>
      <c r="AB36" s="168"/>
    </row>
    <row r="37" spans="3:28" ht="45.75" customHeight="1" thickTop="1" x14ac:dyDescent="0.25">
      <c r="C37" s="688" t="s">
        <v>1227</v>
      </c>
      <c r="E37" s="592" t="s">
        <v>366</v>
      </c>
      <c r="F37" s="592"/>
      <c r="G37" s="592"/>
      <c r="H37" s="592"/>
      <c r="I37" s="592"/>
      <c r="J37" s="592"/>
      <c r="K37" s="592"/>
      <c r="L37" s="592"/>
      <c r="M37" s="592"/>
      <c r="N37" s="592"/>
      <c r="O37" s="592"/>
      <c r="P37" s="592"/>
      <c r="Q37" s="592"/>
      <c r="R37" s="592"/>
      <c r="S37" s="592"/>
      <c r="T37" s="592"/>
      <c r="U37" s="592"/>
      <c r="V37" s="592"/>
      <c r="W37" s="592"/>
      <c r="X37" s="592"/>
      <c r="Y37" s="592"/>
      <c r="Z37" s="592"/>
      <c r="AA37" s="592"/>
      <c r="AB37" s="592"/>
    </row>
    <row r="38" spans="3:28" ht="6" customHeight="1" x14ac:dyDescent="0.25">
      <c r="C38" s="387"/>
      <c r="E38"/>
      <c r="F38"/>
      <c r="G38"/>
      <c r="H38"/>
      <c r="I38"/>
      <c r="J38"/>
      <c r="K38"/>
      <c r="L38"/>
      <c r="M38"/>
      <c r="N38"/>
      <c r="O38"/>
      <c r="P38"/>
      <c r="Q38"/>
      <c r="R38"/>
      <c r="S38"/>
      <c r="T38"/>
      <c r="U38"/>
      <c r="V38"/>
      <c r="W38"/>
      <c r="X38"/>
      <c r="Y38"/>
      <c r="Z38"/>
      <c r="AA38"/>
      <c r="AB38" s="4"/>
    </row>
    <row r="39" spans="3:28" ht="20.25" customHeight="1" x14ac:dyDescent="0.25">
      <c r="C39" s="387"/>
      <c r="E39" s="546" t="s">
        <v>1228</v>
      </c>
      <c r="F39" s="546"/>
      <c r="G39" s="546"/>
      <c r="H39" s="546"/>
      <c r="I39" s="680"/>
      <c r="J39" s="681"/>
      <c r="K39" s="681"/>
      <c r="L39" s="681"/>
      <c r="M39" s="681"/>
      <c r="N39" s="682"/>
      <c r="O39" s="169"/>
      <c r="P39" s="169" t="s">
        <v>1229</v>
      </c>
      <c r="Q39" s="680"/>
      <c r="R39" s="681"/>
      <c r="S39" s="681"/>
      <c r="T39" s="682"/>
      <c r="U39" s="51"/>
      <c r="V39" s="51"/>
      <c r="W39" s="169" t="s">
        <v>51</v>
      </c>
      <c r="X39" s="680"/>
      <c r="Y39" s="681"/>
      <c r="Z39" s="681"/>
      <c r="AA39" s="681"/>
      <c r="AB39" s="682"/>
    </row>
    <row r="40" spans="3:28" ht="7.9" customHeight="1" x14ac:dyDescent="0.25">
      <c r="C40" s="387"/>
      <c r="E40" s="51"/>
      <c r="F40" s="51"/>
      <c r="G40" s="51"/>
      <c r="H40" s="51"/>
      <c r="I40" s="51"/>
      <c r="J40" s="51"/>
      <c r="K40" s="51"/>
      <c r="L40" s="51"/>
      <c r="M40" s="51"/>
      <c r="N40" s="51"/>
      <c r="O40" s="51"/>
      <c r="P40" s="51"/>
      <c r="Q40" s="51"/>
      <c r="R40" s="51"/>
      <c r="S40" s="51"/>
      <c r="T40" s="51"/>
      <c r="U40" s="51"/>
      <c r="V40" s="51"/>
      <c r="W40" s="51"/>
      <c r="X40" s="51"/>
      <c r="Y40" s="51"/>
      <c r="Z40" s="51"/>
      <c r="AA40" s="51"/>
      <c r="AB40" s="116"/>
    </row>
    <row r="41" spans="3:28" ht="7.9" customHeight="1" x14ac:dyDescent="0.25">
      <c r="C41" s="387"/>
      <c r="E41" s="51"/>
      <c r="F41" s="51"/>
      <c r="G41" s="51"/>
      <c r="H41" s="51"/>
      <c r="I41" s="51"/>
      <c r="J41" s="51"/>
      <c r="K41" s="51"/>
      <c r="L41" s="51"/>
      <c r="M41" s="51"/>
      <c r="N41" s="51"/>
      <c r="O41" s="51"/>
      <c r="P41" s="51"/>
      <c r="Q41" s="51"/>
      <c r="R41" s="51"/>
      <c r="S41" s="51"/>
      <c r="T41" s="51"/>
      <c r="U41" s="51"/>
      <c r="V41" s="51"/>
      <c r="W41" s="51"/>
      <c r="X41" s="51"/>
      <c r="Y41" s="51"/>
      <c r="Z41" s="51"/>
      <c r="AA41" s="51"/>
      <c r="AB41" s="116"/>
    </row>
    <row r="42" spans="3:28" ht="19.899999999999999" customHeight="1" thickBot="1" x14ac:dyDescent="0.3">
      <c r="C42" s="387"/>
      <c r="E42" s="683" t="s">
        <v>1232</v>
      </c>
      <c r="F42" s="683"/>
      <c r="G42" s="683"/>
      <c r="H42" s="683"/>
      <c r="I42" s="683"/>
      <c r="J42" s="683"/>
      <c r="K42" s="683"/>
      <c r="L42" s="683"/>
      <c r="M42" s="683"/>
      <c r="N42" s="683"/>
      <c r="O42" s="683"/>
      <c r="P42" s="683"/>
      <c r="Q42" s="683"/>
      <c r="R42" s="683"/>
      <c r="S42" s="683"/>
      <c r="T42" s="683"/>
      <c r="U42" s="683"/>
      <c r="V42" s="683"/>
      <c r="W42" s="683"/>
      <c r="X42" s="683"/>
      <c r="Y42" s="683"/>
      <c r="Z42" s="683"/>
      <c r="AA42" s="683"/>
      <c r="AB42" s="683"/>
    </row>
    <row r="43" spans="3:28" ht="7.15" customHeight="1" x14ac:dyDescent="0.25">
      <c r="C43" s="387"/>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16"/>
    </row>
    <row r="44" spans="3:28" x14ac:dyDescent="0.25">
      <c r="C44" s="387"/>
      <c r="E44" s="596" t="s">
        <v>153</v>
      </c>
      <c r="F44" s="596"/>
      <c r="G44" s="596"/>
      <c r="H44" s="596"/>
      <c r="I44" s="684"/>
      <c r="J44" s="685"/>
      <c r="K44" s="686"/>
      <c r="L44" s="172"/>
      <c r="M44" s="172"/>
      <c r="N44" s="172"/>
      <c r="O44" s="172"/>
      <c r="P44" s="172"/>
      <c r="Q44" s="172"/>
      <c r="R44" s="172"/>
      <c r="S44" s="172"/>
      <c r="T44" s="51"/>
      <c r="U44" s="51"/>
      <c r="V44" s="51"/>
      <c r="W44" s="51"/>
      <c r="X44" s="51"/>
      <c r="Y44" s="51"/>
      <c r="Z44" s="51"/>
      <c r="AA44" s="51"/>
      <c r="AB44" s="116"/>
    </row>
    <row r="45" spans="3:28" ht="4.9000000000000004" customHeight="1" thickBot="1" x14ac:dyDescent="0.3">
      <c r="C45" s="388"/>
      <c r="E45" s="51"/>
      <c r="F45" s="51"/>
      <c r="G45" s="171"/>
      <c r="H45" s="172"/>
      <c r="I45" s="172"/>
      <c r="J45" s="172"/>
      <c r="K45" s="172"/>
      <c r="L45" s="172"/>
      <c r="M45" s="172"/>
      <c r="N45" s="172"/>
      <c r="O45" s="172"/>
      <c r="P45" s="172"/>
      <c r="Q45" s="172"/>
      <c r="R45" s="172"/>
      <c r="S45" s="172"/>
      <c r="T45" s="116"/>
      <c r="U45" s="116"/>
      <c r="V45" s="51"/>
      <c r="W45" s="51"/>
      <c r="X45" s="51"/>
      <c r="Y45" s="51"/>
      <c r="Z45" s="51"/>
      <c r="AA45" s="51"/>
      <c r="AB45" s="116"/>
    </row>
    <row r="46" spans="3:28" ht="16.149999999999999" customHeight="1" thickTop="1" x14ac:dyDescent="0.25">
      <c r="E46" s="51"/>
      <c r="F46" s="51"/>
      <c r="G46" s="171"/>
      <c r="H46" s="171" t="s">
        <v>154</v>
      </c>
      <c r="I46" s="362"/>
      <c r="J46" s="172"/>
      <c r="K46" s="172"/>
      <c r="L46" s="172"/>
      <c r="M46" s="172"/>
      <c r="N46" s="172"/>
      <c r="O46" s="172"/>
      <c r="P46" s="172"/>
      <c r="Q46" s="172"/>
      <c r="R46" s="172"/>
      <c r="S46" s="172"/>
      <c r="T46" s="51"/>
      <c r="U46" s="51"/>
      <c r="V46" s="51"/>
      <c r="W46" s="51"/>
      <c r="X46" s="51"/>
      <c r="Y46" s="51"/>
      <c r="Z46" s="51"/>
      <c r="AA46" s="51"/>
      <c r="AB46" s="116"/>
    </row>
    <row r="47" spans="3:28" ht="8.4499999999999993" customHeight="1" x14ac:dyDescent="0.25">
      <c r="E47" s="51"/>
      <c r="F47" s="51"/>
      <c r="G47" s="51"/>
      <c r="H47" s="51"/>
      <c r="I47" s="51"/>
      <c r="J47" s="51"/>
      <c r="K47" s="51"/>
      <c r="L47" s="51"/>
      <c r="M47" s="51"/>
      <c r="N47" s="51"/>
      <c r="O47" s="51"/>
      <c r="P47" s="51"/>
      <c r="Q47" s="51"/>
      <c r="R47" s="51"/>
      <c r="S47" s="51"/>
      <c r="T47" s="51"/>
      <c r="U47" s="51"/>
      <c r="V47" s="51"/>
      <c r="W47" s="51"/>
      <c r="X47" s="51"/>
      <c r="Y47" s="51"/>
      <c r="Z47" s="51"/>
      <c r="AA47" s="51"/>
      <c r="AB47" s="116"/>
    </row>
    <row r="48" spans="3:28" ht="43.15" customHeight="1" x14ac:dyDescent="0.25">
      <c r="E48" s="51"/>
      <c r="F48" s="687" t="s">
        <v>155</v>
      </c>
      <c r="G48" s="687"/>
      <c r="H48" s="687"/>
      <c r="I48" s="687"/>
      <c r="J48" s="687"/>
      <c r="K48" s="687"/>
      <c r="L48" s="687"/>
      <c r="M48" s="687"/>
      <c r="N48" s="687"/>
      <c r="O48" s="687"/>
      <c r="P48" s="687"/>
      <c r="Q48" s="687"/>
      <c r="R48" s="687"/>
      <c r="S48" s="687"/>
      <c r="T48" s="687"/>
      <c r="U48" s="687"/>
      <c r="V48" s="687"/>
      <c r="W48" s="687"/>
      <c r="X48" s="687"/>
      <c r="Y48" s="687"/>
      <c r="Z48" s="687"/>
      <c r="AA48" s="51"/>
      <c r="AB48" s="116"/>
    </row>
    <row r="49" spans="5:28" ht="3" customHeight="1" x14ac:dyDescent="0.25">
      <c r="E49" s="51"/>
      <c r="F49" s="51"/>
      <c r="G49" s="51"/>
      <c r="H49" s="51"/>
      <c r="I49" s="51"/>
      <c r="J49" s="51"/>
      <c r="K49" s="51"/>
      <c r="L49" s="51"/>
      <c r="M49" s="51"/>
      <c r="N49" s="51"/>
      <c r="O49" s="51"/>
      <c r="P49" s="51"/>
      <c r="Q49" s="51"/>
      <c r="R49" s="51"/>
      <c r="S49" s="51"/>
      <c r="T49" s="51"/>
      <c r="U49" s="51"/>
      <c r="V49" s="51"/>
      <c r="W49" s="51"/>
      <c r="X49" s="51"/>
      <c r="Y49" s="51"/>
      <c r="Z49" s="51"/>
      <c r="AA49" s="51"/>
      <c r="AB49" s="116"/>
    </row>
    <row r="50" spans="5:28" x14ac:dyDescent="0.25">
      <c r="E50" s="51"/>
      <c r="F50" s="551" t="s">
        <v>156</v>
      </c>
      <c r="G50" s="551"/>
      <c r="H50" s="551"/>
      <c r="I50" s="551"/>
      <c r="J50" s="551"/>
      <c r="K50" s="551"/>
      <c r="L50" s="551"/>
      <c r="M50" s="551"/>
      <c r="N50" s="52"/>
      <c r="O50" s="52"/>
      <c r="P50" s="52"/>
      <c r="Q50" s="52"/>
      <c r="R50" s="52"/>
      <c r="S50" s="52"/>
      <c r="T50" s="52"/>
      <c r="U50" s="52"/>
      <c r="V50" s="51"/>
      <c r="W50" s="51"/>
      <c r="X50" s="51"/>
      <c r="Y50" s="51"/>
      <c r="Z50" s="51"/>
      <c r="AA50" s="51"/>
      <c r="AB50" s="116"/>
    </row>
    <row r="51" spans="5:28" x14ac:dyDescent="0.25">
      <c r="E51" s="51"/>
      <c r="F51" s="551"/>
      <c r="G51" s="551"/>
      <c r="H51" s="551"/>
      <c r="I51" s="551"/>
      <c r="J51" s="551"/>
      <c r="K51" s="551"/>
      <c r="L51" s="551"/>
      <c r="M51" s="551"/>
      <c r="N51" s="52"/>
      <c r="O51" s="52"/>
      <c r="P51" s="174" t="s">
        <v>157</v>
      </c>
      <c r="Q51" s="550"/>
      <c r="R51" s="550"/>
      <c r="S51" s="550"/>
      <c r="T51" s="550"/>
      <c r="U51" s="550"/>
      <c r="V51" s="550"/>
      <c r="W51" s="550"/>
      <c r="X51" s="51"/>
      <c r="Y51" s="51"/>
      <c r="Z51" s="51"/>
      <c r="AA51" s="51"/>
      <c r="AB51" s="116"/>
    </row>
    <row r="52" spans="5:28" ht="6" customHeight="1" x14ac:dyDescent="0.25">
      <c r="E52" s="51"/>
      <c r="F52" s="551"/>
      <c r="G52" s="551"/>
      <c r="H52" s="551"/>
      <c r="I52" s="551"/>
      <c r="J52" s="551"/>
      <c r="K52" s="551"/>
      <c r="L52" s="551"/>
      <c r="M52" s="551"/>
      <c r="N52" s="52"/>
      <c r="O52" s="52"/>
      <c r="P52" s="52"/>
      <c r="Q52" s="52"/>
      <c r="R52" s="52"/>
      <c r="S52" s="52"/>
      <c r="T52" s="52"/>
      <c r="U52" s="52"/>
      <c r="V52" s="51"/>
      <c r="W52" s="51"/>
      <c r="X52" s="51"/>
      <c r="Y52" s="51"/>
      <c r="Z52" s="51"/>
      <c r="AA52" s="51"/>
      <c r="AB52" s="116"/>
    </row>
    <row r="53" spans="5:28" x14ac:dyDescent="0.25">
      <c r="E53" s="51"/>
      <c r="F53" s="551"/>
      <c r="G53" s="551"/>
      <c r="H53" s="551"/>
      <c r="I53" s="551"/>
      <c r="J53" s="551"/>
      <c r="K53" s="551"/>
      <c r="L53" s="551"/>
      <c r="M53" s="551"/>
      <c r="N53" s="52"/>
      <c r="O53" s="52"/>
      <c r="P53" s="174" t="s">
        <v>158</v>
      </c>
      <c r="Q53" s="550"/>
      <c r="R53" s="550"/>
      <c r="S53" s="52"/>
      <c r="T53" s="52"/>
      <c r="U53" s="52"/>
      <c r="V53" s="51"/>
      <c r="W53" s="51"/>
      <c r="X53" s="51"/>
      <c r="Y53" s="51"/>
      <c r="Z53" s="51"/>
      <c r="AA53" s="51"/>
      <c r="AB53" s="116"/>
    </row>
    <row r="54" spans="5:28" x14ac:dyDescent="0.25">
      <c r="E54" s="51"/>
      <c r="F54" s="551"/>
      <c r="G54" s="551"/>
      <c r="H54" s="551"/>
      <c r="I54" s="551"/>
      <c r="J54" s="551"/>
      <c r="K54" s="551"/>
      <c r="L54" s="551"/>
      <c r="M54" s="551"/>
      <c r="N54" s="52"/>
      <c r="O54" s="52"/>
      <c r="P54" s="175"/>
      <c r="Q54" s="117"/>
      <c r="R54" s="117"/>
      <c r="S54" s="52"/>
      <c r="T54" s="52"/>
      <c r="U54" s="52"/>
      <c r="V54" s="51"/>
      <c r="W54" s="51"/>
      <c r="X54" s="51"/>
      <c r="Y54" s="51"/>
      <c r="Z54" s="51"/>
      <c r="AA54" s="51"/>
      <c r="AB54" s="116"/>
    </row>
    <row r="55" spans="5:28" x14ac:dyDescent="0.25">
      <c r="E55" s="51"/>
      <c r="F55" s="51"/>
      <c r="G55" s="212"/>
      <c r="H55" s="212"/>
      <c r="I55" s="212"/>
      <c r="J55" s="212"/>
      <c r="K55" s="212"/>
      <c r="L55" s="212"/>
      <c r="M55" s="212"/>
      <c r="N55" s="52"/>
      <c r="O55" s="52"/>
      <c r="P55" s="175"/>
      <c r="Q55" s="117"/>
      <c r="R55" s="117"/>
      <c r="S55" s="52"/>
      <c r="T55" s="52"/>
      <c r="U55" s="52"/>
      <c r="V55" s="51"/>
      <c r="W55" s="51"/>
      <c r="X55" s="51"/>
      <c r="Y55" s="51"/>
      <c r="Z55" s="51"/>
      <c r="AA55" s="51"/>
      <c r="AB55" s="116"/>
    </row>
    <row r="56" spans="5:28" x14ac:dyDescent="0.25">
      <c r="E56" s="15"/>
      <c r="F56" s="15"/>
      <c r="G56" s="16"/>
      <c r="H56" s="16"/>
      <c r="I56" s="16"/>
      <c r="J56" s="16"/>
      <c r="K56" s="16"/>
      <c r="L56" s="16"/>
      <c r="M56" s="16"/>
      <c r="N56" s="16"/>
      <c r="O56" s="16"/>
      <c r="P56" s="16"/>
      <c r="Q56" s="16"/>
      <c r="R56" s="16"/>
      <c r="S56" s="16"/>
      <c r="T56" s="16"/>
      <c r="U56" s="16"/>
      <c r="V56" s="15"/>
      <c r="W56" s="15"/>
      <c r="X56" s="15"/>
      <c r="Y56" s="15"/>
      <c r="Z56" s="15"/>
      <c r="AA56" s="15"/>
      <c r="AB56" s="120"/>
    </row>
    <row r="73" spans="5:28" ht="5.45" customHeight="1" x14ac:dyDescent="0.25">
      <c r="E73" s="14"/>
      <c r="F73" s="14"/>
      <c r="G73" s="14"/>
      <c r="H73" s="14"/>
      <c r="I73" s="14"/>
      <c r="J73" s="14"/>
      <c r="K73" s="14"/>
      <c r="L73" s="14"/>
      <c r="M73" s="14"/>
      <c r="N73" s="14"/>
      <c r="O73" s="14"/>
      <c r="P73" s="14"/>
      <c r="Q73" s="14"/>
      <c r="R73" s="14"/>
      <c r="S73" s="14"/>
      <c r="T73" s="14"/>
      <c r="U73" s="14"/>
      <c r="V73" s="14"/>
      <c r="W73" s="14"/>
      <c r="X73" s="14"/>
      <c r="Y73" s="14"/>
      <c r="Z73" s="14"/>
      <c r="AA73" s="14"/>
      <c r="AB73" s="123"/>
    </row>
    <row r="74" spans="5:28" s="6" customFormat="1" ht="16.899999999999999" customHeight="1" x14ac:dyDescent="0.25">
      <c r="E74" s="593" t="s">
        <v>159</v>
      </c>
      <c r="F74" s="593"/>
      <c r="G74" s="593"/>
      <c r="H74" s="593"/>
      <c r="I74" s="593"/>
      <c r="J74" s="593"/>
      <c r="K74" s="593"/>
      <c r="L74" s="593"/>
      <c r="M74" s="593"/>
      <c r="N74" s="593"/>
      <c r="O74" s="593"/>
      <c r="P74" s="593"/>
      <c r="Q74" s="593"/>
      <c r="R74" s="593"/>
      <c r="S74" s="593"/>
      <c r="T74" s="593"/>
      <c r="U74" s="124"/>
      <c r="AB74" s="12"/>
    </row>
  </sheetData>
  <sheetProtection algorithmName="SHA-512" hashValue="ISRJaA2guXn+MUdKXD9KJk8BanrbqwMFUfSU5BjRCAP3i3q9hpfKicKdQc3rbwyY6xUNI+H79VYDCqPdZM3cUA==" saltValue="ST1037a1Ss6GiCt72XzYog==" spinCount="100000" sheet="1" selectLockedCells="1"/>
  <mergeCells count="49">
    <mergeCell ref="E2:I2"/>
    <mergeCell ref="E3:I4"/>
    <mergeCell ref="J3:T3"/>
    <mergeCell ref="U3:AB3"/>
    <mergeCell ref="J4:T4"/>
    <mergeCell ref="V4:AB5"/>
    <mergeCell ref="J5:T5"/>
    <mergeCell ref="E16:G16"/>
    <mergeCell ref="H16:V16"/>
    <mergeCell ref="J6:T6"/>
    <mergeCell ref="U6:AB6"/>
    <mergeCell ref="E8:H8"/>
    <mergeCell ref="I8:L8"/>
    <mergeCell ref="W8:AB8"/>
    <mergeCell ref="E9:U9"/>
    <mergeCell ref="V9:W9"/>
    <mergeCell ref="E10:G10"/>
    <mergeCell ref="H10:M10"/>
    <mergeCell ref="P10:R10"/>
    <mergeCell ref="S10:X10"/>
    <mergeCell ref="E14:AB14"/>
    <mergeCell ref="E28:AB28"/>
    <mergeCell ref="G18:V18"/>
    <mergeCell ref="L19:M19"/>
    <mergeCell ref="S19:V19"/>
    <mergeCell ref="X19:AB19"/>
    <mergeCell ref="E21:AB21"/>
    <mergeCell ref="W23:AB25"/>
    <mergeCell ref="E24:G24"/>
    <mergeCell ref="E25:G25"/>
    <mergeCell ref="E27:AB27"/>
    <mergeCell ref="G29:T29"/>
    <mergeCell ref="E31:G31"/>
    <mergeCell ref="H31:AB31"/>
    <mergeCell ref="C37:C45"/>
    <mergeCell ref="E37:AB37"/>
    <mergeCell ref="E39:H39"/>
    <mergeCell ref="I39:N39"/>
    <mergeCell ref="Q39:T39"/>
    <mergeCell ref="E74:T74"/>
    <mergeCell ref="E33:AB35"/>
    <mergeCell ref="X39:AB39"/>
    <mergeCell ref="E42:AB42"/>
    <mergeCell ref="E44:H44"/>
    <mergeCell ref="I44:K44"/>
    <mergeCell ref="F48:Z48"/>
    <mergeCell ref="Q51:W51"/>
    <mergeCell ref="Q53:R53"/>
    <mergeCell ref="F50:M54"/>
  </mergeCells>
  <conditionalFormatting sqref="V24">
    <cfRule type="cellIs" dxfId="11" priority="139" operator="equal">
      <formula>"✔"</formula>
    </cfRule>
    <cfRule type="cellIs" dxfId="10" priority="140" operator="equal">
      <formula>"✖"</formula>
    </cfRule>
    <cfRule type="expression" dxfId="9" priority="141">
      <formula>StartDate+0=TODAY()</formula>
    </cfRule>
  </conditionalFormatting>
  <conditionalFormatting sqref="Z10">
    <cfRule type="cellIs" dxfId="8" priority="127" operator="equal">
      <formula>"✔"</formula>
    </cfRule>
    <cfRule type="cellIs" dxfId="7" priority="128" operator="equal">
      <formula>"✖"</formula>
    </cfRule>
    <cfRule type="expression" dxfId="6" priority="129">
      <formula>StartDate+0=TODAY()</formula>
    </cfRule>
  </conditionalFormatting>
  <printOptions horizontalCentered="1"/>
  <pageMargins left="0.25" right="0.25" top="0.75" bottom="0.75" header="0.3" footer="0.3"/>
  <pageSetup scale="79" orientation="landscape" r:id="rId1"/>
  <headerFooter>
    <oddFooter>&amp;LAnnual Owner Certification (AOC) Report
PART B - Exhibit B &amp;"-,Italic"cont'd&amp;RMHC Rev. 03/2025</oddFooter>
  </headerFooter>
  <rowBreaks count="2" manualBreakCount="2">
    <brk id="41" min="4" max="27" man="1"/>
    <brk id="5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75" r:id="rId4" name="Check Box 43">
              <controlPr defaultSize="0" autoFill="0" autoLine="0" autoPict="0">
                <anchor moveWithCells="1">
                  <from>
                    <xdr:col>21</xdr:col>
                    <xdr:colOff>57150</xdr:colOff>
                    <xdr:row>23</xdr:row>
                    <xdr:rowOff>28575</xdr:rowOff>
                  </from>
                  <to>
                    <xdr:col>22</xdr:col>
                    <xdr:colOff>38100</xdr:colOff>
                    <xdr:row>23</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18</vt:i4>
      </vt:variant>
    </vt:vector>
  </HeadingPairs>
  <TitlesOfParts>
    <vt:vector size="36" baseType="lpstr">
      <vt:lpstr>COVER</vt:lpstr>
      <vt:lpstr>TOC</vt:lpstr>
      <vt:lpstr>CKLST</vt:lpstr>
      <vt:lpstr>PAYMENT FORM</vt:lpstr>
      <vt:lpstr>A. OCCPC</vt:lpstr>
      <vt:lpstr>PART A. NP ADDENDUM</vt:lpstr>
      <vt:lpstr>B. SUPPLEMENTAL CERT</vt:lpstr>
      <vt:lpstr>PART B. EXHIBIT A</vt:lpstr>
      <vt:lpstr>PART B.  EXHIBIT B</vt:lpstr>
      <vt:lpstr>PART B. Exhibit C</vt:lpstr>
      <vt:lpstr>PART B. Exhibit D</vt:lpstr>
      <vt:lpstr>C.  RENT ROLL</vt:lpstr>
      <vt:lpstr>D. DFAR</vt:lpstr>
      <vt:lpstr>E. CONTACT FORM</vt:lpstr>
      <vt:lpstr>EUP</vt:lpstr>
      <vt:lpstr>NC GUIDE</vt:lpstr>
      <vt:lpstr>EXPLANATION</vt:lpstr>
      <vt:lpstr>CODES</vt:lpstr>
      <vt:lpstr>'A. OCCPC'!Print_Area</vt:lpstr>
      <vt:lpstr>'B. SUPPLEMENTAL CERT'!Print_Area</vt:lpstr>
      <vt:lpstr>'C.  RENT ROLL'!Print_Area</vt:lpstr>
      <vt:lpstr>CKLST!Print_Area</vt:lpstr>
      <vt:lpstr>COVER!Print_Area</vt:lpstr>
      <vt:lpstr>'D. DFAR'!Print_Area</vt:lpstr>
      <vt:lpstr>'E. CONTACT FORM'!Print_Area</vt:lpstr>
      <vt:lpstr>EUP!Print_Area</vt:lpstr>
      <vt:lpstr>EXPLANATION!Print_Area</vt:lpstr>
      <vt:lpstr>'NC GUIDE'!Print_Area</vt:lpstr>
      <vt:lpstr>'PART A. NP ADDENDUM'!Print_Area</vt:lpstr>
      <vt:lpstr>'PART B.  EXHIBIT B'!Print_Area</vt:lpstr>
      <vt:lpstr>'PART B. EXHIBIT A'!Print_Area</vt:lpstr>
      <vt:lpstr>'PART B. Exhibit C'!Print_Area</vt:lpstr>
      <vt:lpstr>'PART B. Exhibit D'!Print_Area</vt:lpstr>
      <vt:lpstr>'PAYMENT FORM'!Print_Area</vt:lpstr>
      <vt:lpstr>TOC!Print_Area</vt:lpstr>
      <vt:lpstr>EUP!Print_Titles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Georgetown</dc:creator>
  <cp:lastModifiedBy>Karen Georgetown</cp:lastModifiedBy>
  <cp:lastPrinted>2025-04-08T20:32:39Z</cp:lastPrinted>
  <dcterms:created xsi:type="dcterms:W3CDTF">2024-03-05T23:10:20Z</dcterms:created>
  <dcterms:modified xsi:type="dcterms:W3CDTF">2025-05-15T20:52:36Z</dcterms:modified>
</cp:coreProperties>
</file>